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505" activeTab="3"/>
  </bookViews>
  <sheets>
    <sheet name="PORTADA" sheetId="2" r:id="rId1"/>
    <sheet name="EJERCICIO 1" sheetId="1" r:id="rId2"/>
    <sheet name="EJERCICIO 2" sheetId="3" r:id="rId3"/>
    <sheet name="EJERCICIO 3" sheetId="4" r:id="rId4"/>
    <sheet name="EJERCICIO 4" sheetId="5" r:id="rId5"/>
    <sheet name="EJERCICIO 5" sheetId="6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<sst xmlns="http://schemas.openxmlformats.org/spreadsheetml/2006/main" count="479" uniqueCount="249">
  <si>
    <r>
      <rPr>
        <b/>
        <sz val="16"/>
        <color theme="1"/>
        <rFont val="Times New Roman"/>
        <charset val="134"/>
      </rPr>
      <t>UNIVERSIDAD ESTATAL DE MILAGRO</t>
    </r>
    <r>
      <rPr>
        <b/>
        <sz val="12"/>
        <color theme="1"/>
        <rFont val="Times New Roman"/>
        <charset val="134"/>
      </rPr>
      <t xml:space="preserve">
FACULTAD DE POSGRADOS
MAESTRÍA EN CONTABILIDAD Y AUDITORÍA MENCIÓN: GESTIÓN TRIBUTARIA
</t>
    </r>
    <r>
      <rPr>
        <b/>
        <sz val="14"/>
        <color theme="1"/>
        <rFont val="Times New Roman"/>
        <charset val="134"/>
      </rPr>
      <t>TAREA NRO. 1</t>
    </r>
  </si>
  <si>
    <t>Docente:</t>
  </si>
  <si>
    <t>Msc. Edwin Favio Valderrama Barragán</t>
  </si>
  <si>
    <t>Asignatura:</t>
  </si>
  <si>
    <t>Contabilidad Analítica de Costos, Presupuestaria y de Gestión</t>
  </si>
  <si>
    <t>Nro. Grupo:</t>
  </si>
  <si>
    <t>Integrantes:</t>
  </si>
  <si>
    <r>
      <t xml:space="preserve">Puma Miñarcaja Isabel Valeria </t>
    </r>
    <r>
      <rPr>
        <sz val="12"/>
        <color theme="1"/>
        <rFont val="Arial"/>
        <charset val="134"/>
      </rPr>
      <t xml:space="preserve">		</t>
    </r>
    <r>
      <rPr>
        <sz val="12"/>
        <color theme="1"/>
        <rFont val="Times New Roman"/>
        <charset val="134"/>
      </rPr>
      <t xml:space="preserve">
Gómez Rodríguez Jessenia Estefanía</t>
    </r>
    <r>
      <rPr>
        <sz val="12"/>
        <color theme="1"/>
        <rFont val="Arial"/>
        <charset val="134"/>
      </rPr>
      <t xml:space="preserve">		</t>
    </r>
    <r>
      <rPr>
        <sz val="12"/>
        <color theme="1"/>
        <rFont val="Times New Roman"/>
        <charset val="134"/>
      </rPr>
      <t xml:space="preserve">
Sosapanta Núñez Dennis Esthefania 
Barre Cedeño Miguel Ángel 
Barzallo Guachichullca Diego Rene</t>
    </r>
  </si>
  <si>
    <t>Zapato Mujer</t>
  </si>
  <si>
    <t>Zapato Hombre</t>
  </si>
  <si>
    <t>Cuero (en metros)</t>
  </si>
  <si>
    <t>Suela (en unidades)</t>
  </si>
  <si>
    <t>Hora de Mano de Obra Directa (en minutos)</t>
  </si>
  <si>
    <t>SOLUCIÓN:</t>
  </si>
  <si>
    <t>RESULTADOS:</t>
  </si>
  <si>
    <t>Datos:</t>
  </si>
  <si>
    <t>Calculos unitarios:</t>
  </si>
  <si>
    <t>Costos fijos totales anuales:</t>
  </si>
  <si>
    <t>Punto de equilibrio (considerando la mezcla de ventas):</t>
  </si>
  <si>
    <t>Estado de resultados marginal al Punto de equilibrio (60% zapatos mujer y 40% zapato hombre):</t>
  </si>
  <si>
    <t>Precios de venta</t>
  </si>
  <si>
    <t>PARTIDAS</t>
  </si>
  <si>
    <t>MUJER</t>
  </si>
  <si>
    <t>HOMBRE</t>
  </si>
  <si>
    <t>Costo fijo anual</t>
  </si>
  <si>
    <t>TOTAL</t>
  </si>
  <si>
    <t>Concepto</t>
  </si>
  <si>
    <t>Zapato mujer (60%)</t>
  </si>
  <si>
    <t>Zapato hombre (40%)</t>
  </si>
  <si>
    <t>Total</t>
  </si>
  <si>
    <t>Zapato mujer</t>
  </si>
  <si>
    <t>Mano de obra directa (MOD)</t>
  </si>
  <si>
    <t>Sueldos fijos vendedores anuales</t>
  </si>
  <si>
    <t>1. Contibución marginal ponderada por unidad</t>
  </si>
  <si>
    <t>Unidades vendidas</t>
  </si>
  <si>
    <t>Zapato hombre</t>
  </si>
  <si>
    <t>Gastos Administración</t>
  </si>
  <si>
    <t>Precio de venta unitario (USD)</t>
  </si>
  <si>
    <t>-</t>
  </si>
  <si>
    <t>Mezcla histórica de ventas</t>
  </si>
  <si>
    <t>Materiales</t>
  </si>
  <si>
    <t>Costo/deuda financiero para el año</t>
  </si>
  <si>
    <t>Contibución marginal ponderada por unidad</t>
  </si>
  <si>
    <t>Ventas totales (USD)</t>
  </si>
  <si>
    <t xml:space="preserve">Cuero zapato </t>
  </si>
  <si>
    <t>2. Punto de equilibrio en unidades totales</t>
  </si>
  <si>
    <t>Costo variable unitario (USD)</t>
  </si>
  <si>
    <t>Suelas zapatos  (2 unidades)</t>
  </si>
  <si>
    <t xml:space="preserve">2.1 Desglose por tipo de zapato </t>
  </si>
  <si>
    <t>(-)</t>
  </si>
  <si>
    <t>Costo variable total (USD)</t>
  </si>
  <si>
    <t>Costos directos o variables</t>
  </si>
  <si>
    <t>CIF variable (energía) por unidad</t>
  </si>
  <si>
    <t>3. Punto de equilibrio en ventas (USD)</t>
  </si>
  <si>
    <t>(=)</t>
  </si>
  <si>
    <t>Margen de contribución</t>
  </si>
  <si>
    <t>Costo del m2 de cuero</t>
  </si>
  <si>
    <t>Comisión de venta (variable)</t>
  </si>
  <si>
    <t>Costos fijos totales (USD)</t>
  </si>
  <si>
    <t>Costo de cada suela</t>
  </si>
  <si>
    <t xml:space="preserve">Comisión de venta (15%) zapato </t>
  </si>
  <si>
    <t>Utilidad operativa (utilidad)</t>
  </si>
  <si>
    <t>Costo hora de mano de obra directa</t>
  </si>
  <si>
    <t>Costo de manufactura por unidad (MOD + Materiales + Energía)</t>
  </si>
  <si>
    <t>INTERPRETACIÓN:</t>
  </si>
  <si>
    <t>Costos indirectos o fijos</t>
  </si>
  <si>
    <t xml:space="preserve">Zapato </t>
  </si>
  <si>
    <t>* Para cubrir todos los costos fijos (incluyendo costos financieros) y no generar pérdida ni utilidad, la empresa Buestán debe vender aproximadamente 3.609 pares siguiendo la mezcla histórica (aprox. 2.165 zapatos de mujer y 1.444 zapatos de hombre).
* En el punto de equilibrio, las ventas totales son 133.533,63 USD.
* La contribución total cubre exactamente los costos fijos, por lo tanto la utilidad es cero.
* Si la empresa vende más de 3.609 pares o factura más de 133.533,63 USD, empezará a generar utilidad, por el contrario la empresa generará pérdidas.</t>
  </si>
  <si>
    <t>Costo variable por energía eléctrica por unidad producida</t>
  </si>
  <si>
    <t>Costo variable por unidad (manufactura + comisión)</t>
  </si>
  <si>
    <t>Gastos de ventas/comisión (variable)</t>
  </si>
  <si>
    <t>Sueldo fijo mensual vendedores</t>
  </si>
  <si>
    <t>Contribución por unidad (Precio - costo variable)</t>
  </si>
  <si>
    <t xml:space="preserve">Contribución marginal zapato </t>
  </si>
  <si>
    <t>DATOS:</t>
  </si>
  <si>
    <t>CANTIDADES VENDIDAS</t>
  </si>
  <si>
    <t>COSTO VARIABLE UNITARIO</t>
  </si>
  <si>
    <t>COSTO FIJO (60% DE LAS VENTAS)</t>
  </si>
  <si>
    <t>MARGEN DE CONTRIBUCION TOTAL</t>
  </si>
  <si>
    <t>MARGEN DE CONTRIBUCIÓN UNITARIO</t>
  </si>
  <si>
    <t>PRECIO DE VENTA UNITARIO</t>
  </si>
  <si>
    <t>A) DETERMINAR LA CANTIDAD DE PLATOS QUE DEBERÁ VENDER PARA NI GANAR NI PERDER</t>
  </si>
  <si>
    <t>PUNTO DE EQUILIBRIO (Q)=</t>
  </si>
  <si>
    <t>COSTOS FIJOS</t>
  </si>
  <si>
    <t>MARGEN DE CONTRIBUCION UNITARIO</t>
  </si>
  <si>
    <t>UNIDADES DE CEVICHE VENDER</t>
  </si>
  <si>
    <t>PUNTO DE EQUILIBRIO MONETARIO=</t>
  </si>
  <si>
    <t>PUNTO DE EQUILIBRIO EN CANTIDAD * PRECIO DE VENTA UNITARIO</t>
  </si>
  <si>
    <t>ESTADO DE RESULTADO (CON ENFOQUE MARGINAL)</t>
  </si>
  <si>
    <t>INGRESOS</t>
  </si>
  <si>
    <t>(-) COSTO VARIABLE TOTAL</t>
  </si>
  <si>
    <t>(=) MARGEN DE CONTRIBUCIÓN TOTAL</t>
  </si>
  <si>
    <t>(-) COSTOS FIJOS</t>
  </si>
  <si>
    <t>(=)PÉRDIDA O GANANCIA</t>
  </si>
  <si>
    <t>UNIDADES</t>
  </si>
  <si>
    <t>INGRESO TOTAL</t>
  </si>
  <si>
    <t>COSTO VARIABLE TOTAL</t>
  </si>
  <si>
    <t>COSTO FIJO</t>
  </si>
  <si>
    <t>COSTO TOTAL</t>
  </si>
  <si>
    <t>INGRESO UNITARIO</t>
  </si>
  <si>
    <t>COSTO FIJO UNITARIO</t>
  </si>
  <si>
    <t>COSTO TOTAL UNITARIO</t>
  </si>
  <si>
    <t>UTILIDAD POR UNIDAD</t>
  </si>
  <si>
    <t>B) ¿CUÁNTOS PLATOS DEBERÁN VENDERSE PARA TENER UNA UTILIDAD DE $ 4,000.00 MENSUALES?</t>
  </si>
  <si>
    <t>PUNTO DE EQUILIBRIO (Q) UTILIDAD NETA =</t>
  </si>
  <si>
    <r>
      <rPr>
        <sz val="12"/>
        <color theme="1"/>
        <rFont val="Times New Roman"/>
        <charset val="134"/>
      </rPr>
      <t xml:space="preserve">COSTOS FIJOS + COSTOS FINANCIEROS + </t>
    </r>
    <r>
      <rPr>
        <u/>
        <sz val="12"/>
        <color theme="1"/>
        <rFont val="Times New Roman"/>
        <charset val="134"/>
      </rPr>
      <t>UTILIDAD NETA PLANIFICADA</t>
    </r>
  </si>
  <si>
    <t xml:space="preserve">                                            (1-IMPUESTOS)</t>
  </si>
  <si>
    <t>PRECIO DE VENTA UNITARIO-COSTO VARIABLE UNITARIO</t>
  </si>
  <si>
    <t>DATOS</t>
  </si>
  <si>
    <t>COSTO FINANCIERO FIJO</t>
  </si>
  <si>
    <t>UTILIDAD NETA PLANIFICADA</t>
  </si>
  <si>
    <t>IMPUESTOS (PPP E IR)</t>
  </si>
  <si>
    <r>
      <rPr>
        <sz val="12"/>
        <color theme="1"/>
        <rFont val="Times New Roman"/>
        <charset val="134"/>
      </rPr>
      <t xml:space="preserve">5,880.00 + 0.00 + </t>
    </r>
    <r>
      <rPr>
        <u/>
        <sz val="12"/>
        <color theme="1"/>
        <rFont val="Times New Roman"/>
        <charset val="134"/>
      </rPr>
      <t>4,000.00</t>
    </r>
  </si>
  <si>
    <t xml:space="preserve">                             (1-0.40)</t>
  </si>
  <si>
    <t>2.80 - 2.10</t>
  </si>
  <si>
    <t>UNIDADES DE CEVICHE A VENDER</t>
  </si>
  <si>
    <t>(=) EBIT</t>
  </si>
  <si>
    <t>(-) COSTO FINANCIERO TOTAL</t>
  </si>
  <si>
    <t>(=) EBT</t>
  </si>
  <si>
    <t>(-) 15% PARTICIPACIÓN DE TRABAJADORES</t>
  </si>
  <si>
    <t>(-) 25% IMPUESTO A LA RENTA</t>
  </si>
  <si>
    <t>(=) UTILIDAD NETA</t>
  </si>
  <si>
    <t>C) ESTRATEGIAS QUE LE PERMITAN SALIR DE ESE DILEMA</t>
  </si>
  <si>
    <t>DENTRO DE LAS ALTERNATIVAS A CONSIDERAR ESTÁN:</t>
  </si>
  <si>
    <t>1.- OFERTAR MÁS VARIEDAD DE PRODUCTOS, SIN DEJAR A UN LADO LA ESPECIALIDAD DE LA CASA.</t>
  </si>
  <si>
    <t>2.- REALIZAR UN PLAN DE MARKETING, PRIORIZANDO EL USO DE REDES SOCIALES.</t>
  </si>
  <si>
    <t>3.- OPTIMIZAR LOS COSTOS Y AUMENTAR LAS VENTAS, YA QUE ENTRE MÁS UNIDADES SE VENDAN MENOR SERÁ LA AFECTACIÓN DEL COSTO.</t>
  </si>
  <si>
    <t>4.- AUMENTAR CUIDADOSAMENTE EL PRECIO DEL CEVICHE, SIEMPRE Y CUANDO SE MEJORE LA CALIDAD DEL SERVICIO.</t>
  </si>
  <si>
    <t>5.- BUSCAR NUEVAS ALTERNATIVAS DE NEGOCIACIÓN CON LOS PROVEEDORES, PARA OBTENER MEJORES PRECIOS POR COMPRAS EN VOLUMEN SIN AFECTAR LA CALIDAD DEL PRODUCTO.</t>
  </si>
  <si>
    <t>Decisiones principales:</t>
  </si>
  <si>
    <t xml:space="preserve"> </t>
  </si>
  <si>
    <r>
      <t>a) </t>
    </r>
    <r>
      <rPr>
        <sz val="11"/>
        <color theme="1"/>
        <rFont val="Calibri"/>
        <charset val="134"/>
      </rPr>
      <t>Vender masivamente: se tiene que pensar que los niveles de ventas son altos (Q); los margenes de utilidad son bajos, el producto es poco especializado, y la competencia es alta</t>
    </r>
  </si>
  <si>
    <t>- Producto: plan de reducción de costos; materia prima sustituta, análisis de la cadena de producción; análisis de los proveedores.</t>
  </si>
  <si>
    <t>- Precio: accesible para mayor grupo de consumidores.</t>
  </si>
  <si>
    <t>- Plaza: posible mercado de personas con recursos entre medios y bajos, edades entre 12 y 60 años. Lugar donde con trafico alto peatonal.</t>
  </si>
  <si>
    <t>- Promoción: redes sociales, ponderación del ceviche levanta muertos, difusión de precios bajos,</t>
  </si>
  <si>
    <r>
      <t>b) </t>
    </r>
    <r>
      <rPr>
        <sz val="11"/>
        <color theme="1"/>
        <rFont val="Calibri"/>
        <charset val="134"/>
      </rPr>
      <t>Vender producto diferenciado: margenes de utilidad alto, niveles de venta bajo (Q) por nicho de mercado; producto diferenciador; competencia baja.</t>
    </r>
  </si>
  <si>
    <t>- Producto: mejora de presentación, mejorar calidad en materias primas</t>
  </si>
  <si>
    <t>- Precio: con tendencia alto, análisis de precios de mercado.  Muestras y resultados por disposición de pago.</t>
  </si>
  <si>
    <t>- Plaza: identificación de nicho de mercado, recursos mayor mente medio.</t>
  </si>
  <si>
    <t>- Promoción: orientación publicitaria al nicho de mercado, muestras</t>
  </si>
  <si>
    <t>La compañía “M.C.A A1” elabora carteras y billeteras. Sus costos fijos anuales son de $15,600. Su costo variable para cartera es de $0.75 y de $0.95 para billeteras. Una cartera se vende a $1.10 y una billetera $1.45. Se producen dos carteras por cada una billetera. 1. Calcule el número de cartera y de billetera que se producen y venden en el punto de equilibrio. 2. Suponga que sólo se producen cartera. Obtenga el punto de equilibrio, expresado unidades que se deban producir y vender. 3. Suponga que sólo se producen y venden billeteras. Calcule el punto de equilibrio, en unidades.</t>
  </si>
  <si>
    <t xml:space="preserve">CFT </t>
  </si>
  <si>
    <t>Cvcarteras</t>
  </si>
  <si>
    <t>Se divide</t>
  </si>
  <si>
    <t>Cvbilletera</t>
  </si>
  <si>
    <t>PV carteras</t>
  </si>
  <si>
    <t>PV billeteras</t>
  </si>
  <si>
    <t>Se venden 2 carteras * 1 billetera</t>
  </si>
  <si>
    <t>1,-PUNTO DE EQUILIBRIO</t>
  </si>
  <si>
    <t>MC=</t>
  </si>
  <si>
    <t>2(0,38)+1(0,48)</t>
  </si>
  <si>
    <t xml:space="preserve">PE= </t>
  </si>
  <si>
    <t>CF/MC</t>
  </si>
  <si>
    <t>PE=</t>
  </si>
  <si>
    <t>Unidades</t>
  </si>
  <si>
    <t>Carteras=</t>
  </si>
  <si>
    <t>2*12581</t>
  </si>
  <si>
    <t xml:space="preserve">Debe producir 25162 unidades en carteras para mantener el punto de equilibrio </t>
  </si>
  <si>
    <t>Billeteras=</t>
  </si>
  <si>
    <t>1*12581</t>
  </si>
  <si>
    <t xml:space="preserve">Debe producir 12581 unidades en billeteras para mantener el punto de equilibrio </t>
  </si>
  <si>
    <t>2,- Solo carteras</t>
  </si>
  <si>
    <t>Q=</t>
  </si>
  <si>
    <t>3,- Solo billteras</t>
  </si>
  <si>
    <t>Datos</t>
  </si>
  <si>
    <t>Clientes nuevos</t>
  </si>
  <si>
    <t>Clientes actuales</t>
  </si>
  <si>
    <t>CVU</t>
  </si>
  <si>
    <t>Costo Variable Unitario</t>
  </si>
  <si>
    <t>Precio de Venta</t>
  </si>
  <si>
    <t>=</t>
  </si>
  <si>
    <t>MCU</t>
  </si>
  <si>
    <t>Margen de contribución unitario</t>
  </si>
  <si>
    <t>Manufactura</t>
  </si>
  <si>
    <t>MCT</t>
  </si>
  <si>
    <t>Margen de contribución total</t>
  </si>
  <si>
    <t>Comercialización</t>
  </si>
  <si>
    <t>Costos fijos de data Versión 5.0</t>
  </si>
  <si>
    <t>Q</t>
  </si>
  <si>
    <t>1. PUNTO DE EQUILIBRIO</t>
  </si>
  <si>
    <t>Procedimiento</t>
  </si>
  <si>
    <t>a) Calcular el Costo Variable Unitario</t>
  </si>
  <si>
    <t>Clientes Nuevos</t>
  </si>
  <si>
    <t xml:space="preserve">Costo variable de Manufacturación </t>
  </si>
  <si>
    <t>+</t>
  </si>
  <si>
    <t>Costo variable de Comercialización</t>
  </si>
  <si>
    <t>CVU TOTAL</t>
  </si>
  <si>
    <t>b) Calcular el Margen de Contribución Unitario</t>
  </si>
  <si>
    <t>Precio Venta</t>
  </si>
  <si>
    <t>(MCUnuevos x Ventas)+(MCUactuales x Ventas)</t>
  </si>
  <si>
    <t>(175*60%)+(50*40%)</t>
  </si>
  <si>
    <t>PE</t>
  </si>
  <si>
    <t>150000/125</t>
  </si>
  <si>
    <t>Resúmen</t>
  </si>
  <si>
    <t>CF</t>
  </si>
  <si>
    <t>PEQ</t>
  </si>
  <si>
    <t>PEQ(u)</t>
  </si>
  <si>
    <t>2. CUÁL SERÁ LA UTILIDAD EN OPERACIÓN CUANDO SE HAYA VENDIDO UN TOTAL DE 220.000 UNIDADES?</t>
  </si>
  <si>
    <t>Utilidad</t>
  </si>
  <si>
    <t>(Unidades vendidasx MCU(p))-CFT</t>
  </si>
  <si>
    <t>(220,000*125)-15.000.000</t>
  </si>
  <si>
    <t>3. CAMBIO EN EL PUNTO DE EQUILIBRIO CON DIFERENTE MEZCLA</t>
  </si>
  <si>
    <t>a) 40% Cliente Nuevos y 60% Clientes actuales</t>
  </si>
  <si>
    <t>b) 80% Cliente Nuevos y 20% Clientes actuales</t>
  </si>
  <si>
    <t>c) Comente los resultados</t>
  </si>
  <si>
    <t>Con el ejercicio práctico que antecede, se puede determinar que el punto de equilibrio es altamente sensible a la mezcla de ventas debido a la diferencia significativa en el Margen de Contribución Unitario (MCU) de cada grupo ($175.00 para clientes nuevos vs. $50.00 para clientes actuales). Lo que significa que:                                                                             * Mininimizar el PE: La empresa podria alcanzar el punto de equilibrio más bajo (100.000 Unidades) cuando la mezcla se orienta hacia los Clientes Nuevos (80%), ya que estos generan el MCU más alto ($175.00), lo que incrementa el MCUp$ a $150.00.                                                                                                                                      * Maximizar el PE: El punto de equilibrio más alto ($150,000 unidades) ocurre cuando la mezcla favorece a los Clientes Actuales (60%), ya que su bajo MCU ($50.00) reduce el MCUp$ a $100.00, obligando a la empresa a vender una mayor cantidad total de unidades para cubrir los costos fijos.                                                                                                       En conclusión, para mejorar la rentabilidad y reducir el riesgo (punto de equilibrio), Data 1-2-3 debe esforzarse por lograr una mezcla de ventas que maximice la proporción de clientes nuevos.</t>
  </si>
  <si>
    <t>COSTO VARIABLE (POR TAZÓN)</t>
  </si>
  <si>
    <t>MATERIALES DIRECTOS</t>
  </si>
  <si>
    <t>MANO DE OBRA DIRECTA DE MANUFACTURA</t>
  </si>
  <si>
    <t xml:space="preserve">GASTOS INDIRECTOS VARIABLES (MANUFACTURA, MERCADOTECNIA, DISTRIBUCIÓN Y SERVICIO AL CLIENTE) </t>
  </si>
  <si>
    <t>TOTAL DE COSTOS VARIABLES POR TAZÓN</t>
  </si>
  <si>
    <t>MANUFACTURA</t>
  </si>
  <si>
    <t>MARKETING, DISTRIBUCIÓN Y SERVICIO AL CLIENTE</t>
  </si>
  <si>
    <t>TOTAL DE COSTOS FIJOS</t>
  </si>
  <si>
    <t>PRECIO DE VENTA</t>
  </si>
  <si>
    <t>VENTAS ESPERADAS 20.000,00 UNIDADES</t>
  </si>
  <si>
    <t>TASA DE IMPUESTOS SOBRE UTILIDADES</t>
  </si>
  <si>
    <t>1.-¿CUÁL ES LA UTILIDAD NETA PROYECTADA PARA 2024?</t>
  </si>
  <si>
    <t>(-) 40% IMPUESTO SOBRE LAS UTILIDADES</t>
  </si>
  <si>
    <t>2.-¿CUÁL ES EL PUNTO DE EQUILIBRIO EN UNIDADES PARA 2024?</t>
  </si>
  <si>
    <t>TAZONES</t>
  </si>
  <si>
    <t>3.- EL SR. RO HA ESTABLECIDO LA META DE INGRESOS PARA 2025 AL NIVEL DE $550,000.00 (O 22,000 TAZONES). CONSIDERA QUE, PARA LOGRAR LA META DE INGRESOS, SE NECESITARÁ UN COSTO ADICIONAL DE MARKETING DE $11,250 PARA PUBLICIDAD EN 2025, MANTENIENDO CONSTANTES TODOS LOS DEMÁS COSTOS. ¿CUÁL ES LA UTILIDAD NETA PARA 2025, SI SE GASTAN LOS $11,250 ADICIONALES Y SE CUMPLE CON LA META DE INGRESOS?</t>
  </si>
  <si>
    <t>VENTAS ESPERADAS 22.000,00 UNIDADES</t>
  </si>
  <si>
    <t>4.- ¿CUÁL SERÁ EL PUNTO DE EQUILIBRIO EN INGRESOS PARA 2025, SI SE GASTAN LO $11,250.00 ADICIONALES EN PUBLICIDAD?</t>
  </si>
  <si>
    <t>5.- SI SE GASTAN LOS $11,250.00 ADICIONALES, ¿CUÁLES SERÁN LOS INGRESOS REQUERIDOS DE 2025, PARA QUE LA UTILIDAD NETA DE 2025 SEA IGUAL A LA UTILIDAD NETA DE 2024?</t>
  </si>
  <si>
    <r>
      <rPr>
        <sz val="12"/>
        <color theme="1"/>
        <rFont val="Times New Roman"/>
        <charset val="134"/>
      </rPr>
      <t>146,250.00 + 0.00 + 5</t>
    </r>
    <r>
      <rPr>
        <u/>
        <sz val="12"/>
        <color theme="1"/>
        <rFont val="Times New Roman"/>
        <charset val="134"/>
      </rPr>
      <t>4,000.00</t>
    </r>
  </si>
  <si>
    <t xml:space="preserve">                                  (1-0.40)</t>
  </si>
  <si>
    <t>25.00 - 13.75</t>
  </si>
  <si>
    <t>LOS INGRESOS REQUERIDOS DE 2025, PARA QUE LA UTILIDAD NETA DEL 2025 SEA IGUAL A LA UTILIDAD NETA DE 2024 ES DE $525,00.00, ES DECIR 21,000 TAZONES A UN PRECIO DE VENTA UNITARIO DE $25.00</t>
  </si>
  <si>
    <t>6.- A UN NIVEL DE VENTAS DE 22,000 UNIDADES, ¿QUÉ MONTO MÁXIMO SE PODRÁ GASTAR EN PUBLICIDAD, SI SE DESEA UNA UTILIDAD NETA DE $60,000.00 EN 2025?</t>
  </si>
  <si>
    <t>VENTAS ESPERADAS (UNIDADES)</t>
  </si>
  <si>
    <r>
      <rPr>
        <b/>
        <sz val="12"/>
        <color theme="1"/>
        <rFont val="Times New Roman"/>
        <charset val="134"/>
      </rPr>
      <t>UTILIDAD NETA =</t>
    </r>
    <r>
      <rPr>
        <sz val="12"/>
        <color theme="1"/>
        <rFont val="Times New Roman"/>
        <charset val="134"/>
      </rPr>
      <t xml:space="preserve"> </t>
    </r>
  </si>
  <si>
    <t>UTILIDAD ANTES DE IMPUESTOS x (1-IMPUESTOS)</t>
  </si>
  <si>
    <t>100,000.00 x (1-0.40)</t>
  </si>
  <si>
    <t>UTILIDAD NETA =</t>
  </si>
  <si>
    <t>.</t>
  </si>
  <si>
    <r>
      <rPr>
        <b/>
        <sz val="12"/>
        <color theme="1"/>
        <rFont val="Times New Roman"/>
        <charset val="134"/>
      </rPr>
      <t>MARGEN DE CONTRIBUCIÓN UNITARIO =</t>
    </r>
    <r>
      <rPr>
        <sz val="12"/>
        <color theme="1"/>
        <rFont val="Times New Roman"/>
        <charset val="134"/>
      </rPr>
      <t xml:space="preserve"> </t>
    </r>
  </si>
  <si>
    <t>PRECIO DE VENTA UNITARIO - COSTO VARIABLE UNITARIO</t>
  </si>
  <si>
    <r>
      <rPr>
        <b/>
        <sz val="12"/>
        <color theme="1"/>
        <rFont val="Times New Roman"/>
        <charset val="134"/>
      </rPr>
      <t>MARGEN DE CONTRIBUCIÓN TOTAL =</t>
    </r>
    <r>
      <rPr>
        <sz val="12"/>
        <color theme="1"/>
        <rFont val="Times New Roman"/>
        <charset val="134"/>
      </rPr>
      <t xml:space="preserve"> </t>
    </r>
  </si>
  <si>
    <t>MARGEN DE CONTRIBUCIÓN UNITARIO * CANTIDAD</t>
  </si>
  <si>
    <t>11.25 * 22,000</t>
  </si>
  <si>
    <t>COSTO FIJO =</t>
  </si>
  <si>
    <t>MARGEN DE CONTRIBUCIÓN TOTAL - UTILIDAD ANTES DE IMPUESTOS</t>
  </si>
  <si>
    <t>247,500.00 - 100,000.00</t>
  </si>
  <si>
    <r>
      <rPr>
        <sz val="12"/>
        <color theme="1"/>
        <rFont val="Times New Roman"/>
        <charset val="134"/>
      </rPr>
      <t xml:space="preserve">EL TOTAL DEL COSTO FIJO PARA 20,000 TAZONES FUE DE $135,000.00, DE TAL MANERA QUE PARA UN NIVEL DE VENTAS DE 22,000 UNIDADES, EL MONTO MÁXIMO QUE SE PODRÁ GASTAR EN PUBLICIDAD SI SE DESEA UNA UTILIDAD NETA DE $60,000.00 ES </t>
    </r>
    <r>
      <rPr>
        <b/>
        <sz val="12"/>
        <color theme="1"/>
        <rFont val="Times New Roman"/>
        <charset val="134"/>
      </rPr>
      <t>$12,500.00.</t>
    </r>
  </si>
  <si>
    <t xml:space="preserve">      COSTO FIJO (22,000 UNIDADES)</t>
  </si>
  <si>
    <t>(-) COSTO FIJO (20,000 UNIDADES)</t>
  </si>
  <si>
    <t>(=) MONTO MÁXIMO PARA GASTAR EN PUBLICIDAD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</si>
</sst>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2" formatCode="_(&quot;$&quot;* #,##0_);_(&quot;$&quot;* \(#,##0\);_(&quot;$&quot;* &quot;-&quot;_);_(@_)"/>
    <numFmt numFmtId="176" formatCode="_ * #,##0.00_ ;_ * \-#,##0.00_ ;_ * &quot;-&quot;??_ ;_ @_ "/>
    <numFmt numFmtId="177" formatCode="_ &quot;$&quot;* #,##0.00_ ;_ &quot;$&quot;* \-#,##0.00_ ;_ &quot;$&quot;* &quot;-&quot;??_ ;_ @_ "/>
    <numFmt numFmtId="178" formatCode="_ * #,##0_ ;_ * \-#,##0_ ;_ * &quot;-&quot;_ ;_ @_ "/>
    <numFmt numFmtId="179" formatCode="#,##0_ ;\-#,##0\ "/>
    <numFmt numFmtId="180" formatCode="_ [$$-300A]* #,##0.00_ ;_ [$$-300A]* \-#,##0.00_ ;_ [$$-300A]* &quot;-&quot;??_ ;_ @_ "/>
    <numFmt numFmtId="181" formatCode="&quot;$&quot;#,##0.00;[Red]&quot;$&quot;\-#,##0.00"/>
    <numFmt numFmtId="182" formatCode="&quot;$&quot;#,##0.000;[Red]&quot;$&quot;\-#,##0.000"/>
    <numFmt numFmtId="183" formatCode="0.0000000"/>
  </numFmts>
  <fonts count="34">
    <font>
      <sz val="11"/>
      <color theme="1"/>
      <name val="Aptos Narrow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rgb="FFFF0000"/>
      <name val="Times New Roman"/>
      <charset val="134"/>
    </font>
    <font>
      <sz val="11"/>
      <color theme="1"/>
      <name val="Calibri"/>
      <charset val="134"/>
    </font>
    <font>
      <sz val="12"/>
      <color theme="0"/>
      <name val="Times New Roman"/>
      <charset val="134"/>
    </font>
    <font>
      <b/>
      <sz val="12"/>
      <color theme="0"/>
      <name val="Times New Roman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u/>
      <sz val="12"/>
      <color theme="1"/>
      <name val="Times New Roman"/>
      <charset val="134"/>
    </font>
    <font>
      <sz val="12"/>
      <color theme="1"/>
      <name val="Arial"/>
      <charset val="134"/>
    </font>
    <font>
      <b/>
      <sz val="16"/>
      <color theme="1"/>
      <name val="Times New Roman"/>
      <charset val="134"/>
    </font>
    <font>
      <b/>
      <sz val="14"/>
      <color theme="1"/>
      <name val="Times New Roman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349986266670736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2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25" applyNumberFormat="0" applyAlignment="0" applyProtection="0">
      <alignment vertical="center"/>
    </xf>
    <xf numFmtId="0" fontId="20" fillId="11" borderId="26" applyNumberFormat="0" applyAlignment="0" applyProtection="0">
      <alignment vertical="center"/>
    </xf>
    <xf numFmtId="0" fontId="21" fillId="11" borderId="25" applyNumberFormat="0" applyAlignment="0" applyProtection="0">
      <alignment vertical="center"/>
    </xf>
    <xf numFmtId="0" fontId="22" fillId="12" borderId="27" applyNumberFormat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</cellStyleXfs>
  <cellXfs count="19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/>
    <xf numFmtId="177" fontId="3" fillId="0" borderId="1" xfId="2" applyFont="1" applyBorder="1"/>
    <xf numFmtId="0" fontId="3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right"/>
    </xf>
    <xf numFmtId="9" fontId="3" fillId="0" borderId="1" xfId="2" applyNumberFormat="1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76" fontId="3" fillId="0" borderId="0" xfId="0" applyNumberFormat="1" applyFont="1"/>
    <xf numFmtId="0" fontId="2" fillId="0" borderId="0" xfId="0" applyFont="1"/>
    <xf numFmtId="176" fontId="2" fillId="0" borderId="0" xfId="0" applyNumberFormat="1" applyFont="1"/>
    <xf numFmtId="176" fontId="2" fillId="0" borderId="0" xfId="1" applyFont="1"/>
    <xf numFmtId="4" fontId="3" fillId="0" borderId="0" xfId="0" applyNumberFormat="1" applyFont="1"/>
    <xf numFmtId="0" fontId="3" fillId="2" borderId="0" xfId="0" applyFont="1" applyFill="1"/>
    <xf numFmtId="176" fontId="2" fillId="2" borderId="0" xfId="0" applyNumberFormat="1" applyFont="1" applyFill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176" fontId="3" fillId="0" borderId="3" xfId="0" applyNumberFormat="1" applyFont="1" applyBorder="1"/>
    <xf numFmtId="0" fontId="2" fillId="0" borderId="0" xfId="0" applyFont="1" applyAlignment="1">
      <alignment horizontal="right"/>
    </xf>
    <xf numFmtId="176" fontId="3" fillId="2" borderId="0" xfId="0" applyNumberFormat="1" applyFont="1" applyFill="1"/>
    <xf numFmtId="0" fontId="4" fillId="0" borderId="0" xfId="0" applyFont="1" applyAlignment="1">
      <alignment horizontal="justify" wrapText="1"/>
    </xf>
    <xf numFmtId="177" fontId="3" fillId="0" borderId="0" xfId="2" applyFont="1"/>
    <xf numFmtId="177" fontId="3" fillId="2" borderId="0" xfId="2" applyFont="1" applyFill="1"/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176" fontId="3" fillId="0" borderId="1" xfId="1" applyFont="1" applyBorder="1"/>
    <xf numFmtId="10" fontId="3" fillId="0" borderId="1" xfId="1" applyNumberFormat="1" applyFont="1" applyBorder="1"/>
    <xf numFmtId="0" fontId="2" fillId="0" borderId="0" xfId="0" applyFont="1" applyAlignment="1">
      <alignment horizontal="right" vertical="center" wrapText="1"/>
    </xf>
    <xf numFmtId="4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justify" wrapText="1"/>
    </xf>
    <xf numFmtId="179" fontId="3" fillId="0" borderId="1" xfId="1" applyNumberFormat="1" applyFont="1" applyBorder="1"/>
    <xf numFmtId="0" fontId="3" fillId="0" borderId="0" xfId="0" applyFon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/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4" xfId="0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3" fillId="3" borderId="0" xfId="0" applyFont="1" applyFill="1" applyBorder="1" applyAlignment="1">
      <alignment horizontal="center" wrapText="1"/>
    </xf>
    <xf numFmtId="180" fontId="3" fillId="3" borderId="0" xfId="0" applyNumberFormat="1" applyFont="1" applyFill="1" applyBorder="1"/>
    <xf numFmtId="9" fontId="3" fillId="3" borderId="0" xfId="0" applyNumberFormat="1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8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/>
    <xf numFmtId="0" fontId="3" fillId="3" borderId="11" xfId="0" applyFont="1" applyFill="1" applyBorder="1"/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/>
    <xf numFmtId="2" fontId="3" fillId="3" borderId="12" xfId="0" applyNumberFormat="1" applyFont="1" applyFill="1" applyBorder="1"/>
    <xf numFmtId="180" fontId="2" fillId="3" borderId="5" xfId="0" applyNumberFormat="1" applyFont="1" applyFill="1" applyBorder="1" applyAlignment="1">
      <alignment horizontal="center"/>
    </xf>
    <xf numFmtId="180" fontId="2" fillId="3" borderId="6" xfId="0" applyNumberFormat="1" applyFont="1" applyFill="1" applyBorder="1" applyAlignment="1">
      <alignment horizontal="center"/>
    </xf>
    <xf numFmtId="0" fontId="2" fillId="3" borderId="6" xfId="0" applyFont="1" applyFill="1" applyBorder="1"/>
    <xf numFmtId="4" fontId="2" fillId="3" borderId="6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/>
    </xf>
    <xf numFmtId="9" fontId="3" fillId="3" borderId="0" xfId="3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right"/>
    </xf>
    <xf numFmtId="0" fontId="2" fillId="3" borderId="0" xfId="0" applyFont="1" applyFill="1" applyBorder="1" applyAlignment="1">
      <alignment horizontal="center" vertical="center"/>
    </xf>
    <xf numFmtId="4" fontId="2" fillId="3" borderId="0" xfId="0" applyNumberFormat="1" applyFont="1" applyFill="1" applyBorder="1" applyAlignment="1">
      <alignment horizontal="center" vertical="center"/>
    </xf>
    <xf numFmtId="180" fontId="3" fillId="3" borderId="11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4" fontId="3" fillId="3" borderId="1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center" vertical="center"/>
    </xf>
    <xf numFmtId="180" fontId="5" fillId="3" borderId="0" xfId="0" applyNumberFormat="1" applyFont="1" applyFill="1" applyBorder="1"/>
    <xf numFmtId="0" fontId="5" fillId="3" borderId="0" xfId="0" applyFont="1" applyFill="1" applyBorder="1"/>
    <xf numFmtId="0" fontId="3" fillId="3" borderId="5" xfId="0" applyFont="1" applyFill="1" applyBorder="1"/>
    <xf numFmtId="0" fontId="3" fillId="3" borderId="12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vertical="center"/>
    </xf>
    <xf numFmtId="4" fontId="2" fillId="3" borderId="7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right"/>
    </xf>
    <xf numFmtId="4" fontId="3" fillId="3" borderId="9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/>
    <xf numFmtId="0" fontId="3" fillId="3" borderId="0" xfId="0" applyFont="1" applyFill="1" applyBorder="1" applyAlignment="1">
      <alignment horizontal="left" vertical="center" wrapText="1"/>
    </xf>
    <xf numFmtId="177" fontId="3" fillId="0" borderId="0" xfId="2" applyFont="1" applyAlignment="1">
      <alignment horizontal="center"/>
    </xf>
    <xf numFmtId="0" fontId="3" fillId="0" borderId="1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2" fontId="3" fillId="2" borderId="0" xfId="0" applyNumberFormat="1" applyFont="1" applyFill="1"/>
    <xf numFmtId="177" fontId="2" fillId="0" borderId="0" xfId="2" applyFont="1" applyAlignment="1">
      <alignment horizontal="center"/>
    </xf>
    <xf numFmtId="1" fontId="2" fillId="0" borderId="0" xfId="2" applyNumberFormat="1" applyFont="1" applyAlignment="1">
      <alignment horizontal="center"/>
    </xf>
    <xf numFmtId="0" fontId="2" fillId="0" borderId="0" xfId="2" applyNumberFormat="1" applyFont="1" applyAlignment="1">
      <alignment horizont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176" fontId="3" fillId="0" borderId="0" xfId="1" applyFont="1"/>
    <xf numFmtId="4" fontId="2" fillId="0" borderId="0" xfId="0" applyNumberFormat="1" applyFont="1"/>
    <xf numFmtId="4" fontId="2" fillId="2" borderId="0" xfId="1" applyNumberFormat="1" applyFont="1" applyFill="1"/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176" fontId="3" fillId="0" borderId="1" xfId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76" fontId="6" fillId="2" borderId="1" xfId="0" applyNumberFormat="1" applyFont="1" applyFill="1" applyBorder="1" applyAlignment="1">
      <alignment horizontal="center"/>
    </xf>
    <xf numFmtId="176" fontId="6" fillId="2" borderId="1" xfId="1" applyFont="1" applyFill="1" applyBorder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9" fontId="3" fillId="0" borderId="0" xfId="3" applyFont="1" applyAlignment="1">
      <alignment horizontal="center"/>
    </xf>
    <xf numFmtId="0" fontId="3" fillId="0" borderId="0" xfId="0" applyFont="1" applyAlignment="1">
      <alignment horizontal="justify"/>
    </xf>
    <xf numFmtId="0" fontId="7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81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82" fontId="3" fillId="0" borderId="0" xfId="0" applyNumberFormat="1" applyFont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/>
    </xf>
    <xf numFmtId="181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181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183" fontId="3" fillId="0" borderId="0" xfId="0" applyNumberFormat="1" applyFont="1" applyAlignment="1">
      <alignment vertical="center"/>
    </xf>
    <xf numFmtId="181" fontId="3" fillId="0" borderId="0" xfId="0" applyNumberFormat="1" applyFont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8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9" fillId="8" borderId="1" xfId="0" applyFont="1" applyFill="1" applyBorder="1"/>
    <xf numFmtId="0" fontId="3" fillId="0" borderId="1" xfId="0" applyFont="1" applyBorder="1" applyAlignment="1">
      <alignment horizontal="left"/>
    </xf>
    <xf numFmtId="0" fontId="9" fillId="8" borderId="19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>
                <a:solidFill>
                  <a:srgbClr val="FF0000"/>
                </a:solidFill>
              </a:rPr>
              <a:t>GRÁFICO DEL PUNTO DE EQUILIBRIO</a:t>
            </a:r>
            <a:endParaRPr lang="es-EC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'[1]N° 2'!$B$29</c:f>
              <c:strCache>
                <c:ptCount val="1"/>
                <c:pt idx="0">
                  <c:v>INGRESO TOTAL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xVal>
            <c:numRef>
              <c:f>'[1]N° 2'!$A$30:$A$51</c:f>
              <c:numCache>
                <c:formatCode>General</c:formatCode>
                <c:ptCount val="22"/>
                <c:pt idx="1">
                  <c:v>0</c:v>
                </c:pt>
                <c:pt idx="2">
                  <c:v>560</c:v>
                </c:pt>
                <c:pt idx="3">
                  <c:v>1120</c:v>
                </c:pt>
                <c:pt idx="4">
                  <c:v>1680</c:v>
                </c:pt>
                <c:pt idx="5">
                  <c:v>2240</c:v>
                </c:pt>
                <c:pt idx="6">
                  <c:v>2800</c:v>
                </c:pt>
                <c:pt idx="7">
                  <c:v>3360</c:v>
                </c:pt>
                <c:pt idx="8">
                  <c:v>3920</c:v>
                </c:pt>
                <c:pt idx="9">
                  <c:v>4480</c:v>
                </c:pt>
                <c:pt idx="10">
                  <c:v>5040</c:v>
                </c:pt>
                <c:pt idx="11">
                  <c:v>5600</c:v>
                </c:pt>
                <c:pt idx="12">
                  <c:v>6160</c:v>
                </c:pt>
                <c:pt idx="13">
                  <c:v>6720</c:v>
                </c:pt>
                <c:pt idx="14">
                  <c:v>7280</c:v>
                </c:pt>
                <c:pt idx="15">
                  <c:v>7840</c:v>
                </c:pt>
                <c:pt idx="16">
                  <c:v>8400</c:v>
                </c:pt>
                <c:pt idx="17">
                  <c:v>8960</c:v>
                </c:pt>
                <c:pt idx="18">
                  <c:v>9520</c:v>
                </c:pt>
                <c:pt idx="19">
                  <c:v>10080</c:v>
                </c:pt>
                <c:pt idx="20">
                  <c:v>10640</c:v>
                </c:pt>
                <c:pt idx="21">
                  <c:v>11200</c:v>
                </c:pt>
              </c:numCache>
            </c:numRef>
          </c:xVal>
          <c:yVal>
            <c:numRef>
              <c:f>'[1]N° 2'!$B$30:$B$51</c:f>
              <c:numCache>
                <c:formatCode>General</c:formatCode>
                <c:ptCount val="22"/>
                <c:pt idx="1">
                  <c:v>0</c:v>
                </c:pt>
                <c:pt idx="2">
                  <c:v>1568</c:v>
                </c:pt>
                <c:pt idx="3">
                  <c:v>3136</c:v>
                </c:pt>
                <c:pt idx="4">
                  <c:v>4704</c:v>
                </c:pt>
                <c:pt idx="5">
                  <c:v>6272</c:v>
                </c:pt>
                <c:pt idx="6">
                  <c:v>7840</c:v>
                </c:pt>
                <c:pt idx="7">
                  <c:v>9408</c:v>
                </c:pt>
                <c:pt idx="8">
                  <c:v>10976</c:v>
                </c:pt>
                <c:pt idx="9">
                  <c:v>12544</c:v>
                </c:pt>
                <c:pt idx="10">
                  <c:v>14112</c:v>
                </c:pt>
                <c:pt idx="11">
                  <c:v>15680</c:v>
                </c:pt>
                <c:pt idx="12">
                  <c:v>17248</c:v>
                </c:pt>
                <c:pt idx="13">
                  <c:v>18816</c:v>
                </c:pt>
                <c:pt idx="14">
                  <c:v>20384</c:v>
                </c:pt>
                <c:pt idx="15">
                  <c:v>21952</c:v>
                </c:pt>
                <c:pt idx="16">
                  <c:v>23520</c:v>
                </c:pt>
                <c:pt idx="17">
                  <c:v>25088</c:v>
                </c:pt>
                <c:pt idx="18">
                  <c:v>26656</c:v>
                </c:pt>
                <c:pt idx="19">
                  <c:v>28224</c:v>
                </c:pt>
                <c:pt idx="20">
                  <c:v>29792</c:v>
                </c:pt>
                <c:pt idx="21">
                  <c:v>31360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'[1]N° 2'!$E$29</c:f>
              <c:strCache>
                <c:ptCount val="1"/>
                <c:pt idx="0">
                  <c:v>COSTO TOTAL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xVal>
            <c:numRef>
              <c:f>'[1]N° 2'!$A$30:$A$51</c:f>
              <c:numCache>
                <c:formatCode>General</c:formatCode>
                <c:ptCount val="22"/>
                <c:pt idx="1">
                  <c:v>0</c:v>
                </c:pt>
                <c:pt idx="2">
                  <c:v>560</c:v>
                </c:pt>
                <c:pt idx="3">
                  <c:v>1120</c:v>
                </c:pt>
                <c:pt idx="4">
                  <c:v>1680</c:v>
                </c:pt>
                <c:pt idx="5">
                  <c:v>2240</c:v>
                </c:pt>
                <c:pt idx="6">
                  <c:v>2800</c:v>
                </c:pt>
                <c:pt idx="7">
                  <c:v>3360</c:v>
                </c:pt>
                <c:pt idx="8">
                  <c:v>3920</c:v>
                </c:pt>
                <c:pt idx="9">
                  <c:v>4480</c:v>
                </c:pt>
                <c:pt idx="10">
                  <c:v>5040</c:v>
                </c:pt>
                <c:pt idx="11">
                  <c:v>5600</c:v>
                </c:pt>
                <c:pt idx="12">
                  <c:v>6160</c:v>
                </c:pt>
                <c:pt idx="13">
                  <c:v>6720</c:v>
                </c:pt>
                <c:pt idx="14">
                  <c:v>7280</c:v>
                </c:pt>
                <c:pt idx="15">
                  <c:v>7840</c:v>
                </c:pt>
                <c:pt idx="16">
                  <c:v>8400</c:v>
                </c:pt>
                <c:pt idx="17">
                  <c:v>8960</c:v>
                </c:pt>
                <c:pt idx="18">
                  <c:v>9520</c:v>
                </c:pt>
                <c:pt idx="19">
                  <c:v>10080</c:v>
                </c:pt>
                <c:pt idx="20">
                  <c:v>10640</c:v>
                </c:pt>
                <c:pt idx="21">
                  <c:v>11200</c:v>
                </c:pt>
              </c:numCache>
            </c:numRef>
          </c:xVal>
          <c:yVal>
            <c:numRef>
              <c:f>'[1]N° 2'!$E$30:$E$51</c:f>
              <c:numCache>
                <c:formatCode>General</c:formatCode>
                <c:ptCount val="22"/>
                <c:pt idx="1">
                  <c:v>5880</c:v>
                </c:pt>
                <c:pt idx="2">
                  <c:v>7056</c:v>
                </c:pt>
                <c:pt idx="3">
                  <c:v>8232</c:v>
                </c:pt>
                <c:pt idx="4">
                  <c:v>9408</c:v>
                </c:pt>
                <c:pt idx="5">
                  <c:v>10584</c:v>
                </c:pt>
                <c:pt idx="6">
                  <c:v>11760</c:v>
                </c:pt>
                <c:pt idx="7">
                  <c:v>12936</c:v>
                </c:pt>
                <c:pt idx="8">
                  <c:v>14112</c:v>
                </c:pt>
                <c:pt idx="9">
                  <c:v>15288</c:v>
                </c:pt>
                <c:pt idx="10">
                  <c:v>16464</c:v>
                </c:pt>
                <c:pt idx="11">
                  <c:v>17640</c:v>
                </c:pt>
                <c:pt idx="12">
                  <c:v>18816</c:v>
                </c:pt>
                <c:pt idx="13">
                  <c:v>19992</c:v>
                </c:pt>
                <c:pt idx="14">
                  <c:v>21168</c:v>
                </c:pt>
                <c:pt idx="15">
                  <c:v>22344</c:v>
                </c:pt>
                <c:pt idx="16">
                  <c:v>23520</c:v>
                </c:pt>
                <c:pt idx="17">
                  <c:v>24696</c:v>
                </c:pt>
                <c:pt idx="18">
                  <c:v>25872</c:v>
                </c:pt>
                <c:pt idx="19">
                  <c:v>27048</c:v>
                </c:pt>
                <c:pt idx="20">
                  <c:v>28224</c:v>
                </c:pt>
                <c:pt idx="21">
                  <c:v>29400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07200"/>
        <c:axId val="119600640"/>
      </c:scatterChart>
      <c:valAx>
        <c:axId val="119507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9600640"/>
        <c:crosses val="autoZero"/>
        <c:crossBetween val="midCat"/>
        <c:majorUnit val="560"/>
      </c:valAx>
      <c:valAx>
        <c:axId val="11960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9507200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cea5259-db81-4377-96ea-62bf7166ed0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</xdr:colOff>
      <xdr:row>0</xdr:row>
      <xdr:rowOff>0</xdr:rowOff>
    </xdr:from>
    <xdr:to>
      <xdr:col>9</xdr:col>
      <xdr:colOff>2453640</xdr:colOff>
      <xdr:row>0</xdr:row>
      <xdr:rowOff>853440</xdr:rowOff>
    </xdr:to>
    <xdr:pic>
      <xdr:nvPicPr>
        <xdr:cNvPr id="8" name="Imagen 7"/>
        <xdr:cNvPicPr>
          <a:picLocks noChangeAspect="1"/>
        </xdr:cNvPicPr>
      </xdr:nvPicPr>
      <xdr:blipFill>
        <a:blip r:embed="rId1"/>
        <a:srcRect r="680"/>
        <a:stretch>
          <a:fillRect/>
        </a:stretch>
      </xdr:blipFill>
      <xdr:spPr>
        <a:xfrm>
          <a:off x="502920" y="0"/>
          <a:ext cx="9323070" cy="853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695324</xdr:colOff>
      <xdr:row>31</xdr:row>
      <xdr:rowOff>14287</xdr:rowOff>
    </xdr:from>
    <xdr:to>
      <xdr:col>16</xdr:col>
      <xdr:colOff>390525</xdr:colOff>
      <xdr:row>54</xdr:row>
      <xdr:rowOff>9525</xdr:rowOff>
    </xdr:to>
    <xdr:graphicFrame>
      <xdr:nvGraphicFramePr>
        <xdr:cNvPr id="2" name="Gráfico 1"/>
        <xdr:cNvGraphicFramePr/>
      </xdr:nvGraphicFramePr>
      <xdr:xfrm>
        <a:off x="10324465" y="6214745"/>
        <a:ext cx="8677910" cy="46247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85725</xdr:colOff>
      <xdr:row>37</xdr:row>
      <xdr:rowOff>66675</xdr:rowOff>
    </xdr:from>
    <xdr:to>
      <xdr:col>13</xdr:col>
      <xdr:colOff>266700</xdr:colOff>
      <xdr:row>38</xdr:row>
      <xdr:rowOff>171450</xdr:rowOff>
    </xdr:to>
    <xdr:cxnSp>
      <xdr:nvCxnSpPr>
        <xdr:cNvPr id="3" name="Conector recto de flecha 2"/>
        <xdr:cNvCxnSpPr/>
      </xdr:nvCxnSpPr>
      <xdr:spPr>
        <a:xfrm>
          <a:off x="16182975" y="7467600"/>
          <a:ext cx="180975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114300</xdr:colOff>
      <xdr:row>36</xdr:row>
      <xdr:rowOff>38100</xdr:rowOff>
    </xdr:from>
    <xdr:to>
      <xdr:col>14</xdr:col>
      <xdr:colOff>180975</xdr:colOff>
      <xdr:row>37</xdr:row>
      <xdr:rowOff>180975</xdr:rowOff>
    </xdr:to>
    <xdr:sp>
      <xdr:nvSpPr>
        <xdr:cNvPr id="4" name="CuadroTexto 3"/>
        <xdr:cNvSpPr txBox="1"/>
      </xdr:nvSpPr>
      <xdr:spPr>
        <a:xfrm>
          <a:off x="15373350" y="7239000"/>
          <a:ext cx="17430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C" sz="1100" b="1"/>
            <a:t>PUNTO</a:t>
          </a:r>
          <a:r>
            <a:rPr lang="es-EC" sz="1100" b="1" baseline="0"/>
            <a:t> DE EQUILIBRIO</a:t>
          </a:r>
          <a:endParaRPr lang="es-EC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pto\AppData\Local\Packages\5319275A.WhatsAppDesktop_cv1g1gvanyjgm\LocalState\sessions\3869B31432A942CA17993942E643FA434B22AD3A\transfers\2025-43\EJERCICIO%202%20Y%205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° 2"/>
      <sheetName val="N° 5"/>
    </sheetNames>
    <sheetDataSet>
      <sheetData sheetId="0">
        <row r="29">
          <cell r="B29" t="str">
            <v>INGRESO TOTAL</v>
          </cell>
        </row>
        <row r="29">
          <cell r="E29" t="str">
            <v>COSTO TOTAL</v>
          </cell>
        </row>
        <row r="31">
          <cell r="A31">
            <v>0</v>
          </cell>
          <cell r="B31">
            <v>0</v>
          </cell>
        </row>
        <row r="31">
          <cell r="E31">
            <v>5880</v>
          </cell>
        </row>
        <row r="32">
          <cell r="A32">
            <v>560</v>
          </cell>
          <cell r="B32">
            <v>1568</v>
          </cell>
        </row>
        <row r="32">
          <cell r="E32">
            <v>7056</v>
          </cell>
        </row>
        <row r="33">
          <cell r="A33">
            <v>1120</v>
          </cell>
          <cell r="B33">
            <v>3136</v>
          </cell>
        </row>
        <row r="33">
          <cell r="E33">
            <v>8232</v>
          </cell>
        </row>
        <row r="34">
          <cell r="A34">
            <v>1680</v>
          </cell>
          <cell r="B34">
            <v>4704</v>
          </cell>
        </row>
        <row r="34">
          <cell r="E34">
            <v>9408</v>
          </cell>
        </row>
        <row r="35">
          <cell r="A35">
            <v>2240</v>
          </cell>
          <cell r="B35">
            <v>6272</v>
          </cell>
        </row>
        <row r="35">
          <cell r="E35">
            <v>10584</v>
          </cell>
        </row>
        <row r="36">
          <cell r="A36">
            <v>2800</v>
          </cell>
          <cell r="B36">
            <v>7840</v>
          </cell>
        </row>
        <row r="36">
          <cell r="E36">
            <v>11760</v>
          </cell>
        </row>
        <row r="37">
          <cell r="A37">
            <v>3360</v>
          </cell>
          <cell r="B37">
            <v>9408</v>
          </cell>
        </row>
        <row r="37">
          <cell r="E37">
            <v>12936</v>
          </cell>
        </row>
        <row r="38">
          <cell r="A38">
            <v>3920</v>
          </cell>
          <cell r="B38">
            <v>10976</v>
          </cell>
        </row>
        <row r="38">
          <cell r="E38">
            <v>14112</v>
          </cell>
        </row>
        <row r="39">
          <cell r="A39">
            <v>4480</v>
          </cell>
          <cell r="B39">
            <v>12544</v>
          </cell>
        </row>
        <row r="39">
          <cell r="E39">
            <v>15288</v>
          </cell>
        </row>
        <row r="40">
          <cell r="A40">
            <v>5040</v>
          </cell>
          <cell r="B40">
            <v>14112</v>
          </cell>
        </row>
        <row r="40">
          <cell r="E40">
            <v>16464</v>
          </cell>
        </row>
        <row r="41">
          <cell r="A41">
            <v>5600</v>
          </cell>
          <cell r="B41">
            <v>15680</v>
          </cell>
        </row>
        <row r="41">
          <cell r="E41">
            <v>17640</v>
          </cell>
        </row>
        <row r="42">
          <cell r="A42">
            <v>6160</v>
          </cell>
          <cell r="B42">
            <v>17248</v>
          </cell>
        </row>
        <row r="42">
          <cell r="E42">
            <v>18816</v>
          </cell>
        </row>
        <row r="43">
          <cell r="A43">
            <v>6720</v>
          </cell>
          <cell r="B43">
            <v>18816</v>
          </cell>
        </row>
        <row r="43">
          <cell r="E43">
            <v>19992</v>
          </cell>
        </row>
        <row r="44">
          <cell r="A44">
            <v>7280</v>
          </cell>
          <cell r="B44">
            <v>20384</v>
          </cell>
        </row>
        <row r="44">
          <cell r="E44">
            <v>21168</v>
          </cell>
        </row>
        <row r="45">
          <cell r="A45">
            <v>7840</v>
          </cell>
          <cell r="B45">
            <v>21952</v>
          </cell>
        </row>
        <row r="45">
          <cell r="E45">
            <v>22344</v>
          </cell>
        </row>
        <row r="46">
          <cell r="A46">
            <v>8400</v>
          </cell>
          <cell r="B46">
            <v>23520</v>
          </cell>
        </row>
        <row r="46">
          <cell r="E46">
            <v>23520</v>
          </cell>
        </row>
        <row r="47">
          <cell r="A47">
            <v>8960</v>
          </cell>
          <cell r="B47">
            <v>25088</v>
          </cell>
        </row>
        <row r="47">
          <cell r="E47">
            <v>24696</v>
          </cell>
        </row>
        <row r="48">
          <cell r="A48">
            <v>9520</v>
          </cell>
          <cell r="B48">
            <v>26656</v>
          </cell>
        </row>
        <row r="48">
          <cell r="E48">
            <v>25872</v>
          </cell>
        </row>
        <row r="49">
          <cell r="A49">
            <v>10080</v>
          </cell>
          <cell r="B49">
            <v>28224</v>
          </cell>
        </row>
        <row r="49">
          <cell r="E49">
            <v>27048</v>
          </cell>
        </row>
        <row r="50">
          <cell r="A50">
            <v>10640</v>
          </cell>
          <cell r="B50">
            <v>29792</v>
          </cell>
        </row>
        <row r="50">
          <cell r="E50">
            <v>28224</v>
          </cell>
        </row>
        <row r="51">
          <cell r="A51">
            <v>11200</v>
          </cell>
          <cell r="B51">
            <v>31360</v>
          </cell>
        </row>
        <row r="51">
          <cell r="E51">
            <v>29400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0"/>
  <sheetViews>
    <sheetView showGridLines="0" workbookViewId="0">
      <selection activeCell="C11" sqref="C11"/>
    </sheetView>
  </sheetViews>
  <sheetFormatPr defaultColWidth="11" defaultRowHeight="13.5"/>
  <cols>
    <col min="1" max="1" width="6.5" customWidth="1"/>
    <col min="2" max="2" width="13.25" customWidth="1"/>
    <col min="10" max="10" width="36" customWidth="1"/>
  </cols>
  <sheetData>
    <row r="1" ht="82.5" customHeight="1"/>
    <row r="2" ht="79.5" customHeight="1" spans="2:10">
      <c r="B2" s="185" t="s">
        <v>0</v>
      </c>
      <c r="C2" s="3"/>
      <c r="D2" s="3"/>
      <c r="E2" s="3"/>
      <c r="F2" s="3"/>
      <c r="G2" s="3"/>
      <c r="H2" s="3"/>
      <c r="I2" s="3"/>
      <c r="J2" s="3"/>
    </row>
    <row r="3" ht="26.25" customHeight="1" spans="2:10">
      <c r="B3" s="186" t="s">
        <v>1</v>
      </c>
      <c r="C3" s="187" t="s">
        <v>2</v>
      </c>
      <c r="D3" s="187"/>
      <c r="E3" s="187"/>
      <c r="F3" s="187"/>
      <c r="G3" s="187"/>
      <c r="H3" s="187"/>
      <c r="I3" s="187"/>
      <c r="J3" s="187"/>
    </row>
    <row r="4" ht="24.75" customHeight="1" spans="2:10">
      <c r="B4" s="186" t="s">
        <v>3</v>
      </c>
      <c r="C4" s="187" t="s">
        <v>4</v>
      </c>
      <c r="D4" s="187"/>
      <c r="E4" s="187"/>
      <c r="F4" s="187"/>
      <c r="G4" s="187"/>
      <c r="H4" s="187"/>
      <c r="I4" s="187"/>
      <c r="J4" s="187"/>
    </row>
    <row r="5" ht="26.25" customHeight="1" spans="2:10">
      <c r="B5" s="186" t="s">
        <v>5</v>
      </c>
      <c r="C5" s="187">
        <v>16</v>
      </c>
      <c r="D5" s="187"/>
      <c r="E5" s="187"/>
      <c r="F5" s="187"/>
      <c r="G5" s="187"/>
      <c r="H5" s="187"/>
      <c r="I5" s="187"/>
      <c r="J5" s="187"/>
    </row>
    <row r="6" spans="2:10">
      <c r="B6" s="188" t="s">
        <v>6</v>
      </c>
      <c r="C6" s="164" t="s">
        <v>7</v>
      </c>
      <c r="D6" s="181"/>
      <c r="E6" s="181"/>
      <c r="F6" s="181"/>
      <c r="G6" s="181"/>
      <c r="H6" s="181"/>
      <c r="I6" s="181"/>
      <c r="J6" s="181"/>
    </row>
    <row r="7" spans="2:10">
      <c r="B7" s="189"/>
      <c r="C7" s="181"/>
      <c r="D7" s="181"/>
      <c r="E7" s="181"/>
      <c r="F7" s="181"/>
      <c r="G7" s="181"/>
      <c r="H7" s="181"/>
      <c r="I7" s="181"/>
      <c r="J7" s="181"/>
    </row>
    <row r="8" spans="2:10">
      <c r="B8" s="189"/>
      <c r="C8" s="181"/>
      <c r="D8" s="181"/>
      <c r="E8" s="181"/>
      <c r="F8" s="181"/>
      <c r="G8" s="181"/>
      <c r="H8" s="181"/>
      <c r="I8" s="181"/>
      <c r="J8" s="181"/>
    </row>
    <row r="9" spans="2:10">
      <c r="B9" s="189"/>
      <c r="C9" s="181"/>
      <c r="D9" s="181"/>
      <c r="E9" s="181"/>
      <c r="F9" s="181"/>
      <c r="G9" s="181"/>
      <c r="H9" s="181"/>
      <c r="I9" s="181"/>
      <c r="J9" s="181"/>
    </row>
    <row r="10" ht="28.5" customHeight="1" spans="2:10">
      <c r="B10" s="190"/>
      <c r="C10" s="181"/>
      <c r="D10" s="181"/>
      <c r="E10" s="181"/>
      <c r="F10" s="181"/>
      <c r="G10" s="181"/>
      <c r="H10" s="181"/>
      <c r="I10" s="181"/>
      <c r="J10" s="181"/>
    </row>
  </sheetData>
  <mergeCells count="6">
    <mergeCell ref="B2:J2"/>
    <mergeCell ref="C3:J3"/>
    <mergeCell ref="C4:J4"/>
    <mergeCell ref="C5:J5"/>
    <mergeCell ref="B6:B10"/>
    <mergeCell ref="C6:J10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U26"/>
  <sheetViews>
    <sheetView zoomScale="85" zoomScaleNormal="85" topLeftCell="I1" workbookViewId="0">
      <selection activeCell="N28" sqref="N28"/>
    </sheetView>
  </sheetViews>
  <sheetFormatPr defaultColWidth="11.5" defaultRowHeight="15.75"/>
  <cols>
    <col min="1" max="1" width="6.625" style="146" customWidth="1"/>
    <col min="2" max="2" width="35.25" style="146" customWidth="1"/>
    <col min="3" max="3" width="11.5" style="147" customWidth="1"/>
    <col min="4" max="4" width="8.125" style="146" customWidth="1"/>
    <col min="5" max="5" width="38.5" style="146" customWidth="1"/>
    <col min="6" max="7" width="12.6416666666667" style="146" customWidth="1"/>
    <col min="8" max="8" width="3.625" style="146" customWidth="1"/>
    <col min="9" max="9" width="31.875" style="146" customWidth="1"/>
    <col min="10" max="10" width="12.75" style="146" customWidth="1"/>
    <col min="11" max="11" width="3.875" style="146" customWidth="1"/>
    <col min="12" max="12" width="45.5" style="146" customWidth="1"/>
    <col min="13" max="14" width="11.025" style="146" customWidth="1"/>
    <col min="15" max="15" width="12.75" style="146" customWidth="1"/>
    <col min="16" max="16" width="3.75" style="146" customWidth="1"/>
    <col min="17" max="17" width="4.125" style="147" customWidth="1"/>
    <col min="18" max="18" width="29" style="146" customWidth="1"/>
    <col min="19" max="19" width="26.375" style="146" customWidth="1"/>
    <col min="20" max="20" width="23.5" style="146" customWidth="1"/>
    <col min="21" max="21" width="15" style="146" customWidth="1"/>
    <col min="22" max="16384" width="11.5" style="146"/>
  </cols>
  <sheetData>
    <row r="2" ht="31.5" spans="3:4">
      <c r="C2" s="148" t="s">
        <v>8</v>
      </c>
      <c r="D2" s="148" t="s">
        <v>9</v>
      </c>
    </row>
    <row r="3" spans="2:9">
      <c r="B3" s="149" t="s">
        <v>10</v>
      </c>
      <c r="C3" s="150">
        <v>0.8</v>
      </c>
      <c r="D3" s="150">
        <v>0.75</v>
      </c>
      <c r="I3" s="165"/>
    </row>
    <row r="4" spans="2:4">
      <c r="B4" s="149" t="s">
        <v>11</v>
      </c>
      <c r="C4" s="150">
        <v>2</v>
      </c>
      <c r="D4" s="150">
        <v>2</v>
      </c>
    </row>
    <row r="5" spans="2:4">
      <c r="B5" s="149" t="s">
        <v>12</v>
      </c>
      <c r="C5" s="150">
        <v>35</v>
      </c>
      <c r="D5" s="150">
        <v>25</v>
      </c>
    </row>
    <row r="6" spans="2:4">
      <c r="B6" s="40"/>
      <c r="D6" s="147"/>
    </row>
    <row r="7" spans="2:14">
      <c r="B7" s="38" t="s">
        <v>13</v>
      </c>
      <c r="E7" s="38"/>
      <c r="F7" s="38"/>
      <c r="G7" s="38"/>
      <c r="L7" s="38" t="s">
        <v>14</v>
      </c>
      <c r="M7" s="38"/>
      <c r="N7" s="38"/>
    </row>
    <row r="8" spans="2:7">
      <c r="B8" s="38"/>
      <c r="E8" s="38"/>
      <c r="F8" s="38"/>
      <c r="G8" s="38"/>
    </row>
    <row r="9" ht="28.9" customHeight="1" spans="2:21">
      <c r="B9" s="151" t="s">
        <v>15</v>
      </c>
      <c r="C9" s="151"/>
      <c r="E9" s="151" t="s">
        <v>16</v>
      </c>
      <c r="F9" s="151"/>
      <c r="G9" s="151"/>
      <c r="I9" s="151" t="s">
        <v>17</v>
      </c>
      <c r="J9" s="151"/>
      <c r="L9" s="166" t="s">
        <v>18</v>
      </c>
      <c r="M9" s="166"/>
      <c r="N9" s="166"/>
      <c r="O9" s="166"/>
      <c r="P9"/>
      <c r="R9" s="166" t="s">
        <v>19</v>
      </c>
      <c r="S9" s="166"/>
      <c r="T9" s="166"/>
      <c r="U9" s="166"/>
    </row>
    <row r="10" spans="2:21">
      <c r="B10" s="152" t="s">
        <v>20</v>
      </c>
      <c r="C10" s="153"/>
      <c r="E10" s="131" t="s">
        <v>21</v>
      </c>
      <c r="F10" s="131" t="s">
        <v>22</v>
      </c>
      <c r="G10" s="131" t="s">
        <v>23</v>
      </c>
      <c r="I10" s="154" t="s">
        <v>24</v>
      </c>
      <c r="J10" s="167">
        <f>C21</f>
        <v>36800</v>
      </c>
      <c r="L10" s="131" t="s">
        <v>21</v>
      </c>
      <c r="M10" s="131" t="s">
        <v>22</v>
      </c>
      <c r="N10" s="131" t="s">
        <v>23</v>
      </c>
      <c r="O10" s="131" t="s">
        <v>25</v>
      </c>
      <c r="P10" s="168"/>
      <c r="R10" s="180" t="s">
        <v>26</v>
      </c>
      <c r="S10" s="180" t="s">
        <v>27</v>
      </c>
      <c r="T10" s="180" t="s">
        <v>28</v>
      </c>
      <c r="U10" s="180" t="s">
        <v>29</v>
      </c>
    </row>
    <row r="11" spans="2:21">
      <c r="B11" s="154" t="s">
        <v>30</v>
      </c>
      <c r="C11" s="155">
        <v>35</v>
      </c>
      <c r="E11" s="156" t="s">
        <v>31</v>
      </c>
      <c r="F11" s="156"/>
      <c r="G11" s="156"/>
      <c r="I11" s="154" t="s">
        <v>32</v>
      </c>
      <c r="J11" s="167">
        <f>C24*12</f>
        <v>36000</v>
      </c>
      <c r="L11" s="169" t="s">
        <v>33</v>
      </c>
      <c r="M11" s="170">
        <v>0.6</v>
      </c>
      <c r="N11" s="170">
        <v>0.4</v>
      </c>
      <c r="O11" s="170">
        <f>+M11+N11</f>
        <v>1</v>
      </c>
      <c r="P11" s="171"/>
      <c r="R11" s="181" t="s">
        <v>34</v>
      </c>
      <c r="S11" s="175">
        <f>+M15</f>
        <v>2165</v>
      </c>
      <c r="T11" s="175">
        <f>+N15</f>
        <v>1444</v>
      </c>
      <c r="U11" s="175">
        <f>+S11+T11</f>
        <v>3609</v>
      </c>
    </row>
    <row r="12" spans="2:21">
      <c r="B12" s="154" t="s">
        <v>35</v>
      </c>
      <c r="C12" s="155">
        <v>40</v>
      </c>
      <c r="E12" s="154" t="s">
        <v>31</v>
      </c>
      <c r="F12" s="157">
        <f>(C5/60)*C19</f>
        <v>1.3125</v>
      </c>
      <c r="G12" s="157">
        <f>(D5/60)*C19</f>
        <v>0.9375</v>
      </c>
      <c r="I12" s="154" t="s">
        <v>36</v>
      </c>
      <c r="J12" s="167">
        <f>C25</f>
        <v>15000</v>
      </c>
      <c r="L12" s="172" t="str">
        <f t="shared" ref="L12:N12" si="0">+E25</f>
        <v>Contribución marginal zapato </v>
      </c>
      <c r="M12" s="173">
        <f t="shared" si="0"/>
        <v>25.9175</v>
      </c>
      <c r="N12" s="173">
        <f t="shared" si="0"/>
        <v>30.6025</v>
      </c>
      <c r="O12" s="160">
        <f>+M12+N12</f>
        <v>56.52</v>
      </c>
      <c r="P12" s="171"/>
      <c r="R12" s="164" t="s">
        <v>37</v>
      </c>
      <c r="S12" s="160">
        <f>C11</f>
        <v>35</v>
      </c>
      <c r="T12" s="160">
        <f>C12</f>
        <v>40</v>
      </c>
      <c r="U12" s="150" t="s">
        <v>38</v>
      </c>
    </row>
    <row r="13" spans="2:21">
      <c r="B13" s="152" t="s">
        <v>39</v>
      </c>
      <c r="C13" s="155"/>
      <c r="E13" s="158" t="s">
        <v>40</v>
      </c>
      <c r="F13" s="158"/>
      <c r="G13" s="158"/>
      <c r="I13" s="161" t="s">
        <v>41</v>
      </c>
      <c r="J13" s="167">
        <f>C26</f>
        <v>12500</v>
      </c>
      <c r="L13" s="163" t="s">
        <v>42</v>
      </c>
      <c r="M13" s="173">
        <f>+M11*M12</f>
        <v>15.5505</v>
      </c>
      <c r="N13" s="173">
        <f>+N11*N12</f>
        <v>12.241</v>
      </c>
      <c r="O13" s="160">
        <f>+M13+N13</f>
        <v>27.7915</v>
      </c>
      <c r="P13" s="171"/>
      <c r="R13" s="182" t="s">
        <v>43</v>
      </c>
      <c r="S13" s="177">
        <f>S12*S11</f>
        <v>75775</v>
      </c>
      <c r="T13" s="177">
        <f>T12*T11</f>
        <v>57760</v>
      </c>
      <c r="U13" s="177">
        <f>SUM(S13:T13)</f>
        <v>133535</v>
      </c>
    </row>
    <row r="14" spans="2:21">
      <c r="B14" s="154" t="s">
        <v>30</v>
      </c>
      <c r="C14" s="159">
        <v>0.6</v>
      </c>
      <c r="E14" s="154" t="s">
        <v>44</v>
      </c>
      <c r="F14" s="160">
        <f>C3*C17</f>
        <v>0.96</v>
      </c>
      <c r="G14" s="160">
        <f>D3*C17</f>
        <v>0.9</v>
      </c>
      <c r="I14" s="152" t="s">
        <v>29</v>
      </c>
      <c r="J14" s="167">
        <f>SUM(J10:J13)</f>
        <v>100300</v>
      </c>
      <c r="L14" s="152" t="s">
        <v>45</v>
      </c>
      <c r="M14" s="152"/>
      <c r="N14" s="152"/>
      <c r="O14" s="174"/>
      <c r="P14" s="168"/>
      <c r="R14" s="164" t="s">
        <v>46</v>
      </c>
      <c r="S14" s="157">
        <f>F23</f>
        <v>9.0825</v>
      </c>
      <c r="T14" s="157">
        <f>G23</f>
        <v>9.3975</v>
      </c>
      <c r="U14" s="150" t="s">
        <v>38</v>
      </c>
    </row>
    <row r="15" spans="2:21">
      <c r="B15" s="154" t="s">
        <v>35</v>
      </c>
      <c r="C15" s="159">
        <v>0.4</v>
      </c>
      <c r="E15" s="154" t="s">
        <v>47</v>
      </c>
      <c r="F15" s="160">
        <f>C4*C18</f>
        <v>1.5</v>
      </c>
      <c r="G15" s="160">
        <f>D4*C18</f>
        <v>1.5</v>
      </c>
      <c r="L15" s="154" t="s">
        <v>48</v>
      </c>
      <c r="M15" s="175">
        <f>ROUND((J14/O13)*M11,0)</f>
        <v>2165</v>
      </c>
      <c r="N15" s="175">
        <f>ROUND((J14/O13)*N11,0)</f>
        <v>1444</v>
      </c>
      <c r="O15" s="175">
        <f>+M15+N15</f>
        <v>3609</v>
      </c>
      <c r="P15" s="176"/>
      <c r="Q15" s="147" t="s">
        <v>49</v>
      </c>
      <c r="R15" s="183" t="s">
        <v>50</v>
      </c>
      <c r="S15" s="184">
        <f>S14*S11</f>
        <v>19663.6125</v>
      </c>
      <c r="T15" s="184">
        <f>T14*T11</f>
        <v>13569.99</v>
      </c>
      <c r="U15" s="177">
        <f>SUM(S15:T15)</f>
        <v>33233.6025</v>
      </c>
    </row>
    <row r="16" spans="2:21">
      <c r="B16" s="152" t="s">
        <v>51</v>
      </c>
      <c r="C16" s="153"/>
      <c r="E16" s="154" t="s">
        <v>52</v>
      </c>
      <c r="F16" s="160">
        <f>C22</f>
        <v>0.06</v>
      </c>
      <c r="G16" s="160">
        <f>C22</f>
        <v>0.06</v>
      </c>
      <c r="L16" s="152" t="s">
        <v>53</v>
      </c>
      <c r="M16" s="152"/>
      <c r="N16" s="152"/>
      <c r="O16" s="177">
        <f>(J14)/((O13/(C14*C11+C15*C12)))</f>
        <v>133533.634384614</v>
      </c>
      <c r="P16" s="176"/>
      <c r="Q16" s="147" t="s">
        <v>54</v>
      </c>
      <c r="R16" s="182" t="s">
        <v>55</v>
      </c>
      <c r="S16" s="184">
        <f>S13-S15</f>
        <v>56111.3875</v>
      </c>
      <c r="T16" s="184">
        <f>T13-T15</f>
        <v>44190.01</v>
      </c>
      <c r="U16" s="177">
        <f>SUM(S16:T16)</f>
        <v>100301.3975</v>
      </c>
    </row>
    <row r="17" spans="2:21">
      <c r="B17" s="161" t="s">
        <v>56</v>
      </c>
      <c r="C17" s="155">
        <v>1.2</v>
      </c>
      <c r="E17" s="158" t="s">
        <v>57</v>
      </c>
      <c r="F17" s="158"/>
      <c r="G17" s="158"/>
      <c r="P17" s="176"/>
      <c r="Q17" s="176" t="s">
        <v>49</v>
      </c>
      <c r="R17" s="182" t="s">
        <v>58</v>
      </c>
      <c r="S17" s="131"/>
      <c r="T17" s="131"/>
      <c r="U17" s="177">
        <f>J14</f>
        <v>100300</v>
      </c>
    </row>
    <row r="18" spans="2:21">
      <c r="B18" s="154" t="s">
        <v>59</v>
      </c>
      <c r="C18" s="155">
        <v>0.75</v>
      </c>
      <c r="E18" s="154" t="s">
        <v>60</v>
      </c>
      <c r="F18" s="160">
        <f>C11*C23</f>
        <v>5.25</v>
      </c>
      <c r="G18" s="160">
        <f>C12*C23</f>
        <v>6</v>
      </c>
      <c r="Q18" s="147" t="s">
        <v>54</v>
      </c>
      <c r="R18" s="182" t="s">
        <v>61</v>
      </c>
      <c r="S18" s="150"/>
      <c r="T18" s="150"/>
      <c r="U18" s="177">
        <f>U16-U17</f>
        <v>1.39749999999185</v>
      </c>
    </row>
    <row r="19" spans="2:16">
      <c r="B19" s="161" t="s">
        <v>62</v>
      </c>
      <c r="C19" s="155">
        <v>2.25</v>
      </c>
      <c r="E19" s="162" t="s">
        <v>63</v>
      </c>
      <c r="F19" s="162"/>
      <c r="G19" s="162"/>
      <c r="J19" s="176"/>
      <c r="L19" s="38" t="s">
        <v>64</v>
      </c>
      <c r="M19" s="38"/>
      <c r="N19" s="38"/>
      <c r="O19" s="178"/>
      <c r="P19" s="178"/>
    </row>
    <row r="20" ht="15.6" customHeight="1" spans="2:21">
      <c r="B20" s="152" t="s">
        <v>65</v>
      </c>
      <c r="C20" s="153"/>
      <c r="E20" s="154" t="s">
        <v>66</v>
      </c>
      <c r="F20" s="157">
        <f>F14+F12+F15+F16</f>
        <v>3.8325</v>
      </c>
      <c r="G20" s="160">
        <f>+G12+G14+G15+F16</f>
        <v>3.3975</v>
      </c>
      <c r="J20" s="176"/>
      <c r="O20" s="40"/>
      <c r="P20" s="40"/>
      <c r="Q20" s="40"/>
      <c r="R20" s="40"/>
      <c r="S20" s="40"/>
      <c r="T20" s="40"/>
      <c r="U20" s="40"/>
    </row>
    <row r="21" spans="2:21">
      <c r="B21" s="154" t="s">
        <v>24</v>
      </c>
      <c r="C21" s="155">
        <v>36800</v>
      </c>
      <c r="E21" s="154" t="s">
        <v>66</v>
      </c>
      <c r="F21" s="154"/>
      <c r="G21" s="163"/>
      <c r="L21" s="164" t="s">
        <v>67</v>
      </c>
      <c r="M21" s="164"/>
      <c r="N21" s="164"/>
      <c r="O21" s="164"/>
      <c r="P21" s="164"/>
      <c r="Q21" s="164"/>
      <c r="R21" s="164"/>
      <c r="S21" s="164"/>
      <c r="T21" s="164"/>
      <c r="U21" s="164"/>
    </row>
    <row r="22" ht="31.5" spans="2:21">
      <c r="B22" s="164" t="s">
        <v>68</v>
      </c>
      <c r="C22" s="155">
        <v>0.06</v>
      </c>
      <c r="E22" s="162" t="s">
        <v>69</v>
      </c>
      <c r="F22" s="162"/>
      <c r="G22" s="162"/>
      <c r="I22" s="179"/>
      <c r="L22" s="164"/>
      <c r="M22" s="164"/>
      <c r="N22" s="164"/>
      <c r="O22" s="164"/>
      <c r="P22" s="164"/>
      <c r="Q22" s="164"/>
      <c r="R22" s="164"/>
      <c r="S22" s="164"/>
      <c r="T22" s="164"/>
      <c r="U22" s="164"/>
    </row>
    <row r="23" spans="2:21">
      <c r="B23" s="154" t="s">
        <v>70</v>
      </c>
      <c r="C23" s="159">
        <v>0.15</v>
      </c>
      <c r="E23" s="154" t="s">
        <v>66</v>
      </c>
      <c r="F23" s="157">
        <f>F20+F18</f>
        <v>9.0825</v>
      </c>
      <c r="G23" s="157">
        <f>G20+G18</f>
        <v>9.3975</v>
      </c>
      <c r="H23" s="165"/>
      <c r="L23" s="164"/>
      <c r="M23" s="164"/>
      <c r="N23" s="164"/>
      <c r="O23" s="164"/>
      <c r="P23" s="164"/>
      <c r="Q23" s="164"/>
      <c r="R23" s="164"/>
      <c r="S23" s="164"/>
      <c r="T23" s="164"/>
      <c r="U23" s="164"/>
    </row>
    <row r="24" spans="2:21">
      <c r="B24" s="154" t="s">
        <v>71</v>
      </c>
      <c r="C24" s="155">
        <v>3000</v>
      </c>
      <c r="E24" s="162" t="s">
        <v>72</v>
      </c>
      <c r="F24" s="162"/>
      <c r="G24" s="162"/>
      <c r="L24" s="164"/>
      <c r="M24" s="164"/>
      <c r="N24" s="164"/>
      <c r="O24" s="164"/>
      <c r="P24" s="164"/>
      <c r="Q24" s="164"/>
      <c r="R24" s="164"/>
      <c r="S24" s="164"/>
      <c r="T24" s="164"/>
      <c r="U24" s="164"/>
    </row>
    <row r="25" spans="2:7">
      <c r="B25" s="154" t="s">
        <v>36</v>
      </c>
      <c r="C25" s="155">
        <v>15000</v>
      </c>
      <c r="E25" s="154" t="s">
        <v>73</v>
      </c>
      <c r="F25" s="160">
        <f>C11-F23</f>
        <v>25.9175</v>
      </c>
      <c r="G25" s="160">
        <f>C12-G23</f>
        <v>30.6025</v>
      </c>
    </row>
    <row r="26" spans="2:3">
      <c r="B26" s="161" t="s">
        <v>41</v>
      </c>
      <c r="C26" s="155">
        <v>12500</v>
      </c>
    </row>
  </sheetData>
  <mergeCells count="12">
    <mergeCell ref="B9:C9"/>
    <mergeCell ref="E9:G9"/>
    <mergeCell ref="I9:J9"/>
    <mergeCell ref="L9:O9"/>
    <mergeCell ref="R9:U9"/>
    <mergeCell ref="E11:G11"/>
    <mergeCell ref="E13:G13"/>
    <mergeCell ref="E17:G17"/>
    <mergeCell ref="E19:G19"/>
    <mergeCell ref="E22:G22"/>
    <mergeCell ref="E24:G24"/>
    <mergeCell ref="L21:U2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138"/>
  <sheetViews>
    <sheetView topLeftCell="A111" workbookViewId="0">
      <selection activeCell="B124" sqref="B124:G124"/>
    </sheetView>
  </sheetViews>
  <sheetFormatPr defaultColWidth="11" defaultRowHeight="15.75" outlineLevelCol="7"/>
  <cols>
    <col min="1" max="1" width="11" style="13"/>
    <col min="2" max="2" width="40.5" style="13" customWidth="1"/>
    <col min="3" max="3" width="20.75" style="13" customWidth="1"/>
    <col min="4" max="4" width="19.875" style="13" customWidth="1"/>
    <col min="5" max="5" width="20" style="13" customWidth="1"/>
    <col min="6" max="6" width="14.25" style="13" customWidth="1"/>
    <col min="7" max="7" width="17" style="13" customWidth="1"/>
    <col min="8" max="8" width="11" style="13"/>
    <col min="9" max="9" width="12.875" style="13" customWidth="1"/>
    <col min="10" max="16384" width="11" style="13"/>
  </cols>
  <sheetData>
    <row r="4" spans="2:3">
      <c r="B4" s="3" t="s">
        <v>74</v>
      </c>
      <c r="C4" s="3"/>
    </row>
    <row r="5" spans="2:3">
      <c r="B5" s="6" t="s">
        <v>75</v>
      </c>
      <c r="C5" s="6">
        <v>3500</v>
      </c>
    </row>
    <row r="6" spans="2:4">
      <c r="B6" s="6" t="s">
        <v>76</v>
      </c>
      <c r="C6" s="33">
        <v>2.1</v>
      </c>
      <c r="D6" s="127"/>
    </row>
    <row r="7" spans="2:4">
      <c r="B7" s="6" t="s">
        <v>77</v>
      </c>
      <c r="C7" s="33">
        <f>+((C5*C10)*60%)</f>
        <v>5880</v>
      </c>
      <c r="D7" s="127"/>
    </row>
    <row r="8" spans="2:4">
      <c r="B8" s="6" t="s">
        <v>78</v>
      </c>
      <c r="C8" s="33">
        <v>2450</v>
      </c>
      <c r="D8" s="127"/>
    </row>
    <row r="9" spans="2:4">
      <c r="B9" s="6" t="s">
        <v>79</v>
      </c>
      <c r="C9" s="33">
        <f>+C8/C5</f>
        <v>0.7</v>
      </c>
      <c r="D9" s="127"/>
    </row>
    <row r="10" spans="2:4">
      <c r="B10" s="6" t="s">
        <v>80</v>
      </c>
      <c r="C10" s="33">
        <f>+C6+C9</f>
        <v>2.8</v>
      </c>
      <c r="D10" s="127"/>
    </row>
    <row r="12" spans="2:2">
      <c r="B12" s="11" t="s">
        <v>81</v>
      </c>
    </row>
    <row r="14" spans="2:4">
      <c r="B14" s="21" t="s">
        <v>82</v>
      </c>
      <c r="C14" s="22" t="s">
        <v>83</v>
      </c>
      <c r="D14" s="22"/>
    </row>
    <row r="15" spans="2:4">
      <c r="B15" s="21"/>
      <c r="C15" s="23" t="s">
        <v>84</v>
      </c>
      <c r="D15" s="23"/>
    </row>
    <row r="17" spans="2:3">
      <c r="B17" s="21" t="s">
        <v>82</v>
      </c>
      <c r="C17" s="24">
        <f>+C7</f>
        <v>5880</v>
      </c>
    </row>
    <row r="18" spans="2:3">
      <c r="B18" s="21"/>
      <c r="C18" s="25">
        <f>+C9</f>
        <v>0.7</v>
      </c>
    </row>
    <row r="19" spans="2:2">
      <c r="B19" s="15"/>
    </row>
    <row r="20" spans="2:5">
      <c r="B20" s="26" t="s">
        <v>82</v>
      </c>
      <c r="C20" s="27">
        <f>+C17/C18</f>
        <v>8400</v>
      </c>
      <c r="D20" s="19" t="s">
        <v>85</v>
      </c>
      <c r="E20" s="19"/>
    </row>
    <row r="21" spans="2:2">
      <c r="B21" s="15"/>
    </row>
    <row r="22" spans="2:3">
      <c r="B22" s="26" t="s">
        <v>86</v>
      </c>
      <c r="C22" s="29" t="s">
        <v>87</v>
      </c>
    </row>
    <row r="23" spans="2:3">
      <c r="B23" s="26" t="s">
        <v>86</v>
      </c>
      <c r="C23" s="29">
        <f>+C20*C10</f>
        <v>23520</v>
      </c>
    </row>
    <row r="25" spans="2:3">
      <c r="B25" s="12" t="s">
        <v>88</v>
      </c>
      <c r="C25" s="12"/>
    </row>
    <row r="26" spans="2:3">
      <c r="B26" s="13" t="s">
        <v>89</v>
      </c>
      <c r="C26" s="18">
        <f>+C20*C10</f>
        <v>23520</v>
      </c>
    </row>
    <row r="27" spans="2:3">
      <c r="B27" s="13" t="s">
        <v>90</v>
      </c>
      <c r="C27" s="18">
        <f>+C6*C20</f>
        <v>17640</v>
      </c>
    </row>
    <row r="28" spans="2:3">
      <c r="B28" s="15" t="s">
        <v>91</v>
      </c>
      <c r="C28" s="128">
        <f>+C26-C27</f>
        <v>5880</v>
      </c>
    </row>
    <row r="29" spans="2:3">
      <c r="B29" s="13" t="s">
        <v>92</v>
      </c>
      <c r="C29" s="18">
        <f>+C7</f>
        <v>5880</v>
      </c>
    </row>
    <row r="30" spans="2:3">
      <c r="B30" s="45" t="s">
        <v>93</v>
      </c>
      <c r="C30" s="129">
        <v>0</v>
      </c>
    </row>
    <row r="31" spans="8:8">
      <c r="H31" s="130"/>
    </row>
    <row r="32" spans="2:6">
      <c r="B32" s="131" t="s">
        <v>94</v>
      </c>
      <c r="C32" s="132" t="s">
        <v>95</v>
      </c>
      <c r="D32" s="132" t="s">
        <v>96</v>
      </c>
      <c r="E32" s="132" t="s">
        <v>97</v>
      </c>
      <c r="F32" s="132" t="s">
        <v>98</v>
      </c>
    </row>
    <row r="33" spans="2:6">
      <c r="B33" s="131"/>
      <c r="C33" s="132"/>
      <c r="D33" s="132"/>
      <c r="E33" s="132"/>
      <c r="F33" s="132"/>
    </row>
    <row r="34" spans="2:6">
      <c r="B34" s="133">
        <v>0</v>
      </c>
      <c r="C34" s="133">
        <v>0</v>
      </c>
      <c r="D34" s="134">
        <f>+B34*C6</f>
        <v>0</v>
      </c>
      <c r="E34" s="134">
        <f>+$C$7</f>
        <v>5880</v>
      </c>
      <c r="F34" s="134">
        <f>+E34</f>
        <v>5880</v>
      </c>
    </row>
    <row r="35" spans="1:6">
      <c r="A35" s="13">
        <f t="shared" ref="A35:A54" si="0">+B36-B35</f>
        <v>560</v>
      </c>
      <c r="B35" s="133">
        <v>560</v>
      </c>
      <c r="C35" s="134">
        <f t="shared" ref="C35:C54" si="1">+B35*$C$10</f>
        <v>1568</v>
      </c>
      <c r="D35" s="134">
        <f>+B35*$C$6</f>
        <v>1176</v>
      </c>
      <c r="E35" s="134">
        <f t="shared" ref="E35:E54" si="2">+$C$7</f>
        <v>5880</v>
      </c>
      <c r="F35" s="134">
        <f>+F34+D35</f>
        <v>7056</v>
      </c>
    </row>
    <row r="36" spans="1:6">
      <c r="A36" s="13">
        <f t="shared" si="0"/>
        <v>560</v>
      </c>
      <c r="B36" s="133">
        <v>1120</v>
      </c>
      <c r="C36" s="134">
        <f t="shared" si="1"/>
        <v>3136</v>
      </c>
      <c r="D36" s="134">
        <f>+B36*$C$6</f>
        <v>2352</v>
      </c>
      <c r="E36" s="134">
        <f t="shared" si="2"/>
        <v>5880</v>
      </c>
      <c r="F36" s="134">
        <f>+F35+$D$35</f>
        <v>8232</v>
      </c>
    </row>
    <row r="37" spans="1:6">
      <c r="A37" s="13">
        <f t="shared" si="0"/>
        <v>560</v>
      </c>
      <c r="B37" s="133">
        <f>+$B$35+1120</f>
        <v>1680</v>
      </c>
      <c r="C37" s="134">
        <f t="shared" si="1"/>
        <v>4704</v>
      </c>
      <c r="D37" s="134">
        <f t="shared" ref="D37:D54" si="3">+B37*$C$6</f>
        <v>3528</v>
      </c>
      <c r="E37" s="134">
        <f t="shared" si="2"/>
        <v>5880</v>
      </c>
      <c r="F37" s="134">
        <f t="shared" ref="F37:F54" si="4">+F36+$D$35</f>
        <v>9408</v>
      </c>
    </row>
    <row r="38" spans="1:6">
      <c r="A38" s="13">
        <f t="shared" si="0"/>
        <v>560</v>
      </c>
      <c r="B38" s="133">
        <v>2240</v>
      </c>
      <c r="C38" s="134">
        <f t="shared" si="1"/>
        <v>6272</v>
      </c>
      <c r="D38" s="134">
        <f t="shared" si="3"/>
        <v>4704</v>
      </c>
      <c r="E38" s="134">
        <f t="shared" si="2"/>
        <v>5880</v>
      </c>
      <c r="F38" s="134">
        <f t="shared" si="4"/>
        <v>10584</v>
      </c>
    </row>
    <row r="39" spans="1:6">
      <c r="A39" s="13">
        <f t="shared" si="0"/>
        <v>560</v>
      </c>
      <c r="B39" s="133">
        <v>2800</v>
      </c>
      <c r="C39" s="134">
        <f t="shared" si="1"/>
        <v>7840</v>
      </c>
      <c r="D39" s="134">
        <f t="shared" si="3"/>
        <v>5880</v>
      </c>
      <c r="E39" s="134">
        <f t="shared" si="2"/>
        <v>5880</v>
      </c>
      <c r="F39" s="134">
        <f t="shared" si="4"/>
        <v>11760</v>
      </c>
    </row>
    <row r="40" spans="1:6">
      <c r="A40" s="13">
        <f t="shared" si="0"/>
        <v>560</v>
      </c>
      <c r="B40" s="133">
        <v>3360</v>
      </c>
      <c r="C40" s="134">
        <f t="shared" si="1"/>
        <v>9408</v>
      </c>
      <c r="D40" s="134">
        <f t="shared" si="3"/>
        <v>7056</v>
      </c>
      <c r="E40" s="134">
        <f t="shared" si="2"/>
        <v>5880</v>
      </c>
      <c r="F40" s="134">
        <f t="shared" si="4"/>
        <v>12936</v>
      </c>
    </row>
    <row r="41" spans="1:6">
      <c r="A41" s="13">
        <f t="shared" si="0"/>
        <v>560</v>
      </c>
      <c r="B41" s="133">
        <v>3920</v>
      </c>
      <c r="C41" s="134">
        <f t="shared" si="1"/>
        <v>10976</v>
      </c>
      <c r="D41" s="134">
        <f t="shared" si="3"/>
        <v>8232</v>
      </c>
      <c r="E41" s="134">
        <f t="shared" si="2"/>
        <v>5880</v>
      </c>
      <c r="F41" s="134">
        <f t="shared" si="4"/>
        <v>14112</v>
      </c>
    </row>
    <row r="42" spans="1:6">
      <c r="A42" s="13">
        <f t="shared" si="0"/>
        <v>560</v>
      </c>
      <c r="B42" s="133">
        <v>4480</v>
      </c>
      <c r="C42" s="134">
        <f t="shared" si="1"/>
        <v>12544</v>
      </c>
      <c r="D42" s="134">
        <f t="shared" si="3"/>
        <v>9408</v>
      </c>
      <c r="E42" s="134">
        <f t="shared" si="2"/>
        <v>5880</v>
      </c>
      <c r="F42" s="134">
        <f t="shared" si="4"/>
        <v>15288</v>
      </c>
    </row>
    <row r="43" spans="1:6">
      <c r="A43" s="13">
        <f t="shared" si="0"/>
        <v>560</v>
      </c>
      <c r="B43" s="133">
        <v>5040</v>
      </c>
      <c r="C43" s="134">
        <f t="shared" si="1"/>
        <v>14112</v>
      </c>
      <c r="D43" s="134">
        <f t="shared" si="3"/>
        <v>10584</v>
      </c>
      <c r="E43" s="134">
        <f t="shared" si="2"/>
        <v>5880</v>
      </c>
      <c r="F43" s="134">
        <f t="shared" si="4"/>
        <v>16464</v>
      </c>
    </row>
    <row r="44" spans="1:6">
      <c r="A44" s="13">
        <f t="shared" si="0"/>
        <v>560</v>
      </c>
      <c r="B44" s="133">
        <v>5600</v>
      </c>
      <c r="C44" s="134">
        <f t="shared" si="1"/>
        <v>15680</v>
      </c>
      <c r="D44" s="134">
        <f t="shared" si="3"/>
        <v>11760</v>
      </c>
      <c r="E44" s="134">
        <f t="shared" si="2"/>
        <v>5880</v>
      </c>
      <c r="F44" s="134">
        <f t="shared" si="4"/>
        <v>17640</v>
      </c>
    </row>
    <row r="45" spans="1:6">
      <c r="A45" s="13">
        <f t="shared" si="0"/>
        <v>560</v>
      </c>
      <c r="B45" s="133">
        <v>6160</v>
      </c>
      <c r="C45" s="134">
        <f t="shared" si="1"/>
        <v>17248</v>
      </c>
      <c r="D45" s="134">
        <f t="shared" si="3"/>
        <v>12936</v>
      </c>
      <c r="E45" s="134">
        <f t="shared" si="2"/>
        <v>5880</v>
      </c>
      <c r="F45" s="134">
        <f t="shared" si="4"/>
        <v>18816</v>
      </c>
    </row>
    <row r="46" spans="1:6">
      <c r="A46" s="13">
        <f t="shared" si="0"/>
        <v>560</v>
      </c>
      <c r="B46" s="133">
        <v>6720</v>
      </c>
      <c r="C46" s="134">
        <f t="shared" si="1"/>
        <v>18816</v>
      </c>
      <c r="D46" s="134">
        <f t="shared" si="3"/>
        <v>14112</v>
      </c>
      <c r="E46" s="134">
        <f t="shared" si="2"/>
        <v>5880</v>
      </c>
      <c r="F46" s="134">
        <f t="shared" si="4"/>
        <v>19992</v>
      </c>
    </row>
    <row r="47" spans="1:6">
      <c r="A47" s="13">
        <f t="shared" si="0"/>
        <v>560</v>
      </c>
      <c r="B47" s="133">
        <v>7280</v>
      </c>
      <c r="C47" s="134">
        <f t="shared" si="1"/>
        <v>20384</v>
      </c>
      <c r="D47" s="134">
        <f t="shared" si="3"/>
        <v>15288</v>
      </c>
      <c r="E47" s="134">
        <f t="shared" si="2"/>
        <v>5880</v>
      </c>
      <c r="F47" s="134">
        <f t="shared" si="4"/>
        <v>21168</v>
      </c>
    </row>
    <row r="48" spans="1:6">
      <c r="A48" s="13">
        <f t="shared" si="0"/>
        <v>560</v>
      </c>
      <c r="B48" s="133">
        <v>7840</v>
      </c>
      <c r="C48" s="134">
        <f t="shared" si="1"/>
        <v>21952</v>
      </c>
      <c r="D48" s="134">
        <f t="shared" si="3"/>
        <v>16464</v>
      </c>
      <c r="E48" s="134">
        <f t="shared" si="2"/>
        <v>5880</v>
      </c>
      <c r="F48" s="134">
        <f t="shared" si="4"/>
        <v>22344</v>
      </c>
    </row>
    <row r="49" spans="1:6">
      <c r="A49" s="13">
        <f t="shared" si="0"/>
        <v>560</v>
      </c>
      <c r="B49" s="135">
        <v>8400</v>
      </c>
      <c r="C49" s="136">
        <f t="shared" si="1"/>
        <v>23520</v>
      </c>
      <c r="D49" s="136">
        <f t="shared" si="3"/>
        <v>17640</v>
      </c>
      <c r="E49" s="136">
        <f t="shared" si="2"/>
        <v>5880</v>
      </c>
      <c r="F49" s="136">
        <f t="shared" si="4"/>
        <v>23520</v>
      </c>
    </row>
    <row r="50" spans="1:6">
      <c r="A50" s="13">
        <f t="shared" si="0"/>
        <v>560</v>
      </c>
      <c r="B50" s="133">
        <v>8960</v>
      </c>
      <c r="C50" s="134">
        <f t="shared" si="1"/>
        <v>25088</v>
      </c>
      <c r="D50" s="134">
        <f t="shared" si="3"/>
        <v>18816</v>
      </c>
      <c r="E50" s="134">
        <f t="shared" si="2"/>
        <v>5880</v>
      </c>
      <c r="F50" s="134">
        <f t="shared" si="4"/>
        <v>24696</v>
      </c>
    </row>
    <row r="51" spans="1:6">
      <c r="A51" s="13">
        <f t="shared" si="0"/>
        <v>560</v>
      </c>
      <c r="B51" s="133">
        <v>9520</v>
      </c>
      <c r="C51" s="134">
        <f t="shared" si="1"/>
        <v>26656</v>
      </c>
      <c r="D51" s="134">
        <f t="shared" si="3"/>
        <v>19992</v>
      </c>
      <c r="E51" s="134">
        <f t="shared" si="2"/>
        <v>5880</v>
      </c>
      <c r="F51" s="134">
        <f t="shared" si="4"/>
        <v>25872</v>
      </c>
    </row>
    <row r="52" ht="16.5" customHeight="1" spans="1:6">
      <c r="A52" s="13">
        <f t="shared" si="0"/>
        <v>560</v>
      </c>
      <c r="B52" s="133">
        <v>10080</v>
      </c>
      <c r="C52" s="134">
        <f t="shared" si="1"/>
        <v>28224</v>
      </c>
      <c r="D52" s="134">
        <f t="shared" si="3"/>
        <v>21168</v>
      </c>
      <c r="E52" s="134">
        <f t="shared" si="2"/>
        <v>5880</v>
      </c>
      <c r="F52" s="134">
        <f t="shared" si="4"/>
        <v>27048</v>
      </c>
    </row>
    <row r="53" ht="16.5" customHeight="1" spans="1:6">
      <c r="A53" s="13">
        <f t="shared" si="0"/>
        <v>560</v>
      </c>
      <c r="B53" s="133">
        <v>10640</v>
      </c>
      <c r="C53" s="134">
        <f t="shared" si="1"/>
        <v>29792</v>
      </c>
      <c r="D53" s="134">
        <f t="shared" si="3"/>
        <v>22344</v>
      </c>
      <c r="E53" s="134">
        <f t="shared" si="2"/>
        <v>5880</v>
      </c>
      <c r="F53" s="134">
        <f t="shared" si="4"/>
        <v>28224</v>
      </c>
    </row>
    <row r="54" ht="16.5" customHeight="1" spans="1:6">
      <c r="A54" s="13">
        <f t="shared" si="0"/>
        <v>-11200</v>
      </c>
      <c r="B54" s="133">
        <v>11200</v>
      </c>
      <c r="C54" s="134">
        <f t="shared" si="1"/>
        <v>31360</v>
      </c>
      <c r="D54" s="134">
        <f t="shared" si="3"/>
        <v>23520</v>
      </c>
      <c r="E54" s="134">
        <f t="shared" si="2"/>
        <v>5880</v>
      </c>
      <c r="F54" s="134">
        <f t="shared" si="4"/>
        <v>29400</v>
      </c>
    </row>
    <row r="55" ht="16.5" customHeight="1"/>
    <row r="56" ht="16.5" customHeight="1"/>
    <row r="57" spans="2:7">
      <c r="B57" s="131" t="s">
        <v>94</v>
      </c>
      <c r="C57" s="132" t="s">
        <v>99</v>
      </c>
      <c r="D57" s="132" t="s">
        <v>76</v>
      </c>
      <c r="E57" s="132" t="s">
        <v>100</v>
      </c>
      <c r="F57" s="132" t="s">
        <v>101</v>
      </c>
      <c r="G57" s="132" t="s">
        <v>102</v>
      </c>
    </row>
    <row r="58" spans="2:7">
      <c r="B58" s="131"/>
      <c r="C58" s="132"/>
      <c r="D58" s="132"/>
      <c r="E58" s="132"/>
      <c r="F58" s="132"/>
      <c r="G58" s="132"/>
    </row>
    <row r="59" spans="2:7">
      <c r="B59" s="133">
        <v>560</v>
      </c>
      <c r="C59" s="134">
        <f>+$C$10</f>
        <v>2.8</v>
      </c>
      <c r="D59" s="134">
        <f>+$C$6</f>
        <v>2.1</v>
      </c>
      <c r="E59" s="137">
        <f>+$C$7/B59</f>
        <v>10.5</v>
      </c>
      <c r="F59" s="134">
        <f>+D59+E59</f>
        <v>12.6</v>
      </c>
      <c r="G59" s="137">
        <f>+((C59-D59)-E59)</f>
        <v>-9.8</v>
      </c>
    </row>
    <row r="60" spans="2:7">
      <c r="B60" s="133">
        <v>1120</v>
      </c>
      <c r="C60" s="134">
        <f t="shared" ref="C60:C78" si="5">+$C$10</f>
        <v>2.8</v>
      </c>
      <c r="D60" s="134">
        <f t="shared" ref="D60:D78" si="6">+$C$6</f>
        <v>2.1</v>
      </c>
      <c r="E60" s="137">
        <f t="shared" ref="E60:E78" si="7">+$C$7/B60</f>
        <v>5.25</v>
      </c>
      <c r="F60" s="134">
        <f t="shared" ref="F60:F78" si="8">+D60+E60</f>
        <v>7.35</v>
      </c>
      <c r="G60" s="137">
        <f t="shared" ref="G60:G78" si="9">+((C60-D60)-E60)</f>
        <v>-4.55</v>
      </c>
    </row>
    <row r="61" spans="2:7">
      <c r="B61" s="133">
        <f>+$B$35+1120</f>
        <v>1680</v>
      </c>
      <c r="C61" s="134">
        <f t="shared" si="5"/>
        <v>2.8</v>
      </c>
      <c r="D61" s="134">
        <f t="shared" si="6"/>
        <v>2.1</v>
      </c>
      <c r="E61" s="137">
        <f t="shared" si="7"/>
        <v>3.5</v>
      </c>
      <c r="F61" s="134">
        <f t="shared" si="8"/>
        <v>5.6</v>
      </c>
      <c r="G61" s="137">
        <f t="shared" si="9"/>
        <v>-2.8</v>
      </c>
    </row>
    <row r="62" spans="2:7">
      <c r="B62" s="133">
        <v>2240</v>
      </c>
      <c r="C62" s="134">
        <f t="shared" si="5"/>
        <v>2.8</v>
      </c>
      <c r="D62" s="134">
        <f t="shared" si="6"/>
        <v>2.1</v>
      </c>
      <c r="E62" s="137">
        <f t="shared" si="7"/>
        <v>2.625</v>
      </c>
      <c r="F62" s="134">
        <f t="shared" si="8"/>
        <v>4.725</v>
      </c>
      <c r="G62" s="137">
        <f t="shared" si="9"/>
        <v>-1.925</v>
      </c>
    </row>
    <row r="63" spans="2:7">
      <c r="B63" s="133">
        <v>2800</v>
      </c>
      <c r="C63" s="134">
        <f t="shared" si="5"/>
        <v>2.8</v>
      </c>
      <c r="D63" s="134">
        <f t="shared" si="6"/>
        <v>2.1</v>
      </c>
      <c r="E63" s="137">
        <f t="shared" si="7"/>
        <v>2.1</v>
      </c>
      <c r="F63" s="134">
        <f t="shared" si="8"/>
        <v>4.2</v>
      </c>
      <c r="G63" s="137">
        <f t="shared" si="9"/>
        <v>-1.4</v>
      </c>
    </row>
    <row r="64" spans="2:7">
      <c r="B64" s="133">
        <v>3360</v>
      </c>
      <c r="C64" s="134">
        <f t="shared" si="5"/>
        <v>2.8</v>
      </c>
      <c r="D64" s="134">
        <f t="shared" si="6"/>
        <v>2.1</v>
      </c>
      <c r="E64" s="137">
        <f t="shared" si="7"/>
        <v>1.75</v>
      </c>
      <c r="F64" s="134">
        <f t="shared" si="8"/>
        <v>3.85</v>
      </c>
      <c r="G64" s="137">
        <f t="shared" si="9"/>
        <v>-1.05</v>
      </c>
    </row>
    <row r="65" spans="2:7">
      <c r="B65" s="133">
        <v>3920</v>
      </c>
      <c r="C65" s="134">
        <f t="shared" si="5"/>
        <v>2.8</v>
      </c>
      <c r="D65" s="134">
        <f t="shared" si="6"/>
        <v>2.1</v>
      </c>
      <c r="E65" s="137">
        <f t="shared" si="7"/>
        <v>1.5</v>
      </c>
      <c r="F65" s="134">
        <f t="shared" si="8"/>
        <v>3.6</v>
      </c>
      <c r="G65" s="137">
        <f t="shared" si="9"/>
        <v>-0.8</v>
      </c>
    </row>
    <row r="66" spans="2:7">
      <c r="B66" s="133">
        <v>4480</v>
      </c>
      <c r="C66" s="134">
        <f t="shared" si="5"/>
        <v>2.8</v>
      </c>
      <c r="D66" s="134">
        <f t="shared" si="6"/>
        <v>2.1</v>
      </c>
      <c r="E66" s="137">
        <f t="shared" si="7"/>
        <v>1.3125</v>
      </c>
      <c r="F66" s="134">
        <f t="shared" si="8"/>
        <v>3.4125</v>
      </c>
      <c r="G66" s="137">
        <f t="shared" si="9"/>
        <v>-0.6125</v>
      </c>
    </row>
    <row r="67" spans="2:7">
      <c r="B67" s="133">
        <v>5040</v>
      </c>
      <c r="C67" s="134">
        <f t="shared" si="5"/>
        <v>2.8</v>
      </c>
      <c r="D67" s="134">
        <f t="shared" si="6"/>
        <v>2.1</v>
      </c>
      <c r="E67" s="137">
        <f t="shared" si="7"/>
        <v>1.16666666666667</v>
      </c>
      <c r="F67" s="134">
        <f t="shared" si="8"/>
        <v>3.26666666666667</v>
      </c>
      <c r="G67" s="137">
        <f t="shared" si="9"/>
        <v>-0.466666666666667</v>
      </c>
    </row>
    <row r="68" spans="2:7">
      <c r="B68" s="133">
        <v>5600</v>
      </c>
      <c r="C68" s="134">
        <f t="shared" si="5"/>
        <v>2.8</v>
      </c>
      <c r="D68" s="134">
        <f t="shared" si="6"/>
        <v>2.1</v>
      </c>
      <c r="E68" s="137">
        <f t="shared" si="7"/>
        <v>1.05</v>
      </c>
      <c r="F68" s="134">
        <f t="shared" si="8"/>
        <v>3.15</v>
      </c>
      <c r="G68" s="137">
        <f t="shared" si="9"/>
        <v>-0.35</v>
      </c>
    </row>
    <row r="69" spans="2:7">
      <c r="B69" s="133">
        <v>6160</v>
      </c>
      <c r="C69" s="134">
        <f t="shared" si="5"/>
        <v>2.8</v>
      </c>
      <c r="D69" s="134">
        <f t="shared" si="6"/>
        <v>2.1</v>
      </c>
      <c r="E69" s="137">
        <f t="shared" si="7"/>
        <v>0.954545454545455</v>
      </c>
      <c r="F69" s="134">
        <f t="shared" si="8"/>
        <v>3.05454545454545</v>
      </c>
      <c r="G69" s="137">
        <f t="shared" si="9"/>
        <v>-0.254545454545455</v>
      </c>
    </row>
    <row r="70" spans="2:7">
      <c r="B70" s="133">
        <v>6720</v>
      </c>
      <c r="C70" s="134">
        <f t="shared" si="5"/>
        <v>2.8</v>
      </c>
      <c r="D70" s="134">
        <f t="shared" si="6"/>
        <v>2.1</v>
      </c>
      <c r="E70" s="137">
        <f t="shared" si="7"/>
        <v>0.875</v>
      </c>
      <c r="F70" s="134">
        <f t="shared" si="8"/>
        <v>2.975</v>
      </c>
      <c r="G70" s="137">
        <f t="shared" si="9"/>
        <v>-0.175</v>
      </c>
    </row>
    <row r="71" spans="2:7">
      <c r="B71" s="133">
        <v>7280</v>
      </c>
      <c r="C71" s="134">
        <f t="shared" si="5"/>
        <v>2.8</v>
      </c>
      <c r="D71" s="134">
        <f t="shared" si="6"/>
        <v>2.1</v>
      </c>
      <c r="E71" s="137">
        <f t="shared" si="7"/>
        <v>0.807692307692308</v>
      </c>
      <c r="F71" s="134">
        <f t="shared" si="8"/>
        <v>2.90769230769231</v>
      </c>
      <c r="G71" s="137">
        <f t="shared" si="9"/>
        <v>-0.107692307692308</v>
      </c>
    </row>
    <row r="72" spans="2:7">
      <c r="B72" s="133">
        <v>7840</v>
      </c>
      <c r="C72" s="134">
        <f t="shared" si="5"/>
        <v>2.8</v>
      </c>
      <c r="D72" s="134">
        <f t="shared" si="6"/>
        <v>2.1</v>
      </c>
      <c r="E72" s="137">
        <f t="shared" si="7"/>
        <v>0.75</v>
      </c>
      <c r="F72" s="134">
        <f t="shared" si="8"/>
        <v>2.85</v>
      </c>
      <c r="G72" s="137">
        <f t="shared" si="9"/>
        <v>-0.0500000000000003</v>
      </c>
    </row>
    <row r="73" spans="2:7">
      <c r="B73" s="138">
        <v>8400</v>
      </c>
      <c r="C73" s="139">
        <f t="shared" si="5"/>
        <v>2.8</v>
      </c>
      <c r="D73" s="139">
        <f t="shared" si="6"/>
        <v>2.1</v>
      </c>
      <c r="E73" s="140">
        <f t="shared" si="7"/>
        <v>0.7</v>
      </c>
      <c r="F73" s="139">
        <f t="shared" si="8"/>
        <v>2.8</v>
      </c>
      <c r="G73" s="140">
        <f t="shared" si="9"/>
        <v>-2.22044604925031e-16</v>
      </c>
    </row>
    <row r="74" spans="2:7">
      <c r="B74" s="133">
        <v>8960</v>
      </c>
      <c r="C74" s="134">
        <f t="shared" si="5"/>
        <v>2.8</v>
      </c>
      <c r="D74" s="134">
        <f t="shared" si="6"/>
        <v>2.1</v>
      </c>
      <c r="E74" s="137">
        <f t="shared" si="7"/>
        <v>0.65625</v>
      </c>
      <c r="F74" s="134">
        <f t="shared" si="8"/>
        <v>2.75625</v>
      </c>
      <c r="G74" s="137">
        <f t="shared" si="9"/>
        <v>0.0437499999999997</v>
      </c>
    </row>
    <row r="75" spans="2:7">
      <c r="B75" s="133">
        <v>9520</v>
      </c>
      <c r="C75" s="134">
        <f t="shared" si="5"/>
        <v>2.8</v>
      </c>
      <c r="D75" s="134">
        <f t="shared" si="6"/>
        <v>2.1</v>
      </c>
      <c r="E75" s="137">
        <f t="shared" si="7"/>
        <v>0.617647058823529</v>
      </c>
      <c r="F75" s="134">
        <f t="shared" si="8"/>
        <v>2.71764705882353</v>
      </c>
      <c r="G75" s="137">
        <f t="shared" si="9"/>
        <v>0.0823529411764703</v>
      </c>
    </row>
    <row r="76" spans="2:7">
      <c r="B76" s="133">
        <v>10080</v>
      </c>
      <c r="C76" s="134">
        <f t="shared" si="5"/>
        <v>2.8</v>
      </c>
      <c r="D76" s="134">
        <f t="shared" si="6"/>
        <v>2.1</v>
      </c>
      <c r="E76" s="137">
        <f t="shared" si="7"/>
        <v>0.583333333333333</v>
      </c>
      <c r="F76" s="134">
        <f t="shared" si="8"/>
        <v>2.68333333333333</v>
      </c>
      <c r="G76" s="137">
        <f t="shared" si="9"/>
        <v>0.116666666666666</v>
      </c>
    </row>
    <row r="77" spans="2:7">
      <c r="B77" s="133">
        <v>10640</v>
      </c>
      <c r="C77" s="134">
        <f t="shared" si="5"/>
        <v>2.8</v>
      </c>
      <c r="D77" s="134">
        <f t="shared" si="6"/>
        <v>2.1</v>
      </c>
      <c r="E77" s="137">
        <f t="shared" si="7"/>
        <v>0.552631578947368</v>
      </c>
      <c r="F77" s="134">
        <f t="shared" si="8"/>
        <v>2.65263157894737</v>
      </c>
      <c r="G77" s="137">
        <f t="shared" si="9"/>
        <v>0.147368421052631</v>
      </c>
    </row>
    <row r="78" spans="2:7">
      <c r="B78" s="133">
        <v>11200</v>
      </c>
      <c r="C78" s="134">
        <f t="shared" si="5"/>
        <v>2.8</v>
      </c>
      <c r="D78" s="134">
        <f t="shared" si="6"/>
        <v>2.1</v>
      </c>
      <c r="E78" s="137">
        <f t="shared" si="7"/>
        <v>0.525</v>
      </c>
      <c r="F78" s="134">
        <f t="shared" si="8"/>
        <v>2.625</v>
      </c>
      <c r="G78" s="137">
        <f t="shared" si="9"/>
        <v>0.175</v>
      </c>
    </row>
    <row r="80" spans="2:2">
      <c r="B80" s="11" t="s">
        <v>103</v>
      </c>
    </row>
    <row r="82" spans="2:7">
      <c r="B82" s="31" t="s">
        <v>104</v>
      </c>
      <c r="C82" s="23" t="s">
        <v>105</v>
      </c>
      <c r="D82" s="23"/>
      <c r="E82" s="23"/>
      <c r="F82" s="23"/>
      <c r="G82" s="23"/>
    </row>
    <row r="83" spans="2:5">
      <c r="B83" s="31"/>
      <c r="E83" s="13" t="s">
        <v>106</v>
      </c>
    </row>
    <row r="84" spans="2:7">
      <c r="B84" s="31"/>
      <c r="C84" s="32" t="s">
        <v>107</v>
      </c>
      <c r="D84" s="32"/>
      <c r="E84" s="32"/>
      <c r="F84" s="32"/>
      <c r="G84" s="32"/>
    </row>
    <row r="86" spans="2:3">
      <c r="B86" s="3" t="s">
        <v>108</v>
      </c>
      <c r="C86" s="3"/>
    </row>
    <row r="87" spans="2:3">
      <c r="B87" s="6" t="s">
        <v>80</v>
      </c>
      <c r="C87" s="33">
        <f>+C10</f>
        <v>2.8</v>
      </c>
    </row>
    <row r="88" spans="2:3">
      <c r="B88" s="6" t="s">
        <v>76</v>
      </c>
      <c r="C88" s="33">
        <f>+C6</f>
        <v>2.1</v>
      </c>
    </row>
    <row r="89" spans="2:3">
      <c r="B89" s="6" t="s">
        <v>97</v>
      </c>
      <c r="C89" s="33">
        <f>+C7</f>
        <v>5880</v>
      </c>
    </row>
    <row r="90" spans="2:3">
      <c r="B90" s="6" t="s">
        <v>109</v>
      </c>
      <c r="C90" s="33">
        <v>0</v>
      </c>
    </row>
    <row r="91" spans="2:3">
      <c r="B91" s="6" t="s">
        <v>110</v>
      </c>
      <c r="C91" s="33">
        <v>4000</v>
      </c>
    </row>
    <row r="92" spans="2:3">
      <c r="B92" s="6" t="s">
        <v>111</v>
      </c>
      <c r="C92" s="34">
        <f>15%+25%</f>
        <v>0.4</v>
      </c>
    </row>
    <row r="94" spans="2:4">
      <c r="B94" s="31" t="s">
        <v>104</v>
      </c>
      <c r="C94" s="23" t="s">
        <v>112</v>
      </c>
      <c r="D94" s="23"/>
    </row>
    <row r="95" spans="2:4">
      <c r="B95" s="31"/>
      <c r="C95" s="22" t="s">
        <v>113</v>
      </c>
      <c r="D95" s="22"/>
    </row>
    <row r="96" spans="2:4">
      <c r="B96" s="31"/>
      <c r="C96" s="32" t="s">
        <v>114</v>
      </c>
      <c r="D96" s="32"/>
    </row>
    <row r="98" spans="2:4">
      <c r="B98" s="31" t="s">
        <v>104</v>
      </c>
      <c r="C98" s="36">
        <f>+((C89+C90)+(C91/(1-0.4)))</f>
        <v>12546.6666666667</v>
      </c>
      <c r="D98" s="36"/>
    </row>
    <row r="99" spans="2:4">
      <c r="B99" s="31"/>
      <c r="C99" s="37">
        <f>+C87-C88</f>
        <v>0.7</v>
      </c>
      <c r="D99" s="37"/>
    </row>
    <row r="100" spans="2:2">
      <c r="B100" s="38"/>
    </row>
    <row r="101" spans="2:5">
      <c r="B101" s="31" t="s">
        <v>104</v>
      </c>
      <c r="C101" s="141">
        <f>+C98/C99</f>
        <v>17923.8095238095</v>
      </c>
      <c r="D101" s="142" t="s">
        <v>115</v>
      </c>
      <c r="E101" s="41"/>
    </row>
    <row r="102" spans="2:5">
      <c r="B102" s="31"/>
      <c r="C102" s="141"/>
      <c r="D102" s="142"/>
      <c r="E102" s="41"/>
    </row>
    <row r="105" spans="2:3">
      <c r="B105" s="12" t="s">
        <v>88</v>
      </c>
      <c r="C105" s="12"/>
    </row>
    <row r="106" spans="2:4">
      <c r="B106" s="13" t="s">
        <v>89</v>
      </c>
      <c r="C106" s="14">
        <f>+C101*C87</f>
        <v>50186.6666666667</v>
      </c>
      <c r="D106" s="143">
        <f t="shared" ref="D106:D115" si="10">+C106/$C$106</f>
        <v>1</v>
      </c>
    </row>
    <row r="107" spans="2:4">
      <c r="B107" s="13" t="s">
        <v>90</v>
      </c>
      <c r="C107" s="14">
        <f>+C101*C88</f>
        <v>37640</v>
      </c>
      <c r="D107" s="143">
        <f t="shared" si="10"/>
        <v>0.75</v>
      </c>
    </row>
    <row r="108" spans="2:4">
      <c r="B108" s="15" t="s">
        <v>91</v>
      </c>
      <c r="C108" s="16">
        <f>+C106-C107</f>
        <v>12546.6666666667</v>
      </c>
      <c r="D108" s="143">
        <f t="shared" si="10"/>
        <v>0.25</v>
      </c>
    </row>
    <row r="109" spans="2:4">
      <c r="B109" s="13" t="s">
        <v>92</v>
      </c>
      <c r="C109" s="14">
        <f>+C89</f>
        <v>5880</v>
      </c>
      <c r="D109" s="143">
        <f t="shared" si="10"/>
        <v>0.117162592986185</v>
      </c>
    </row>
    <row r="110" spans="2:4">
      <c r="B110" s="15" t="s">
        <v>116</v>
      </c>
      <c r="C110" s="17">
        <f>+C108-C109</f>
        <v>6666.66666666667</v>
      </c>
      <c r="D110" s="143">
        <f t="shared" si="10"/>
        <v>0.132837407013815</v>
      </c>
    </row>
    <row r="111" spans="2:4">
      <c r="B111" s="13" t="s">
        <v>117</v>
      </c>
      <c r="C111" s="13">
        <v>0</v>
      </c>
      <c r="D111" s="143">
        <f t="shared" si="10"/>
        <v>0</v>
      </c>
    </row>
    <row r="112" spans="2:4">
      <c r="B112" s="15" t="s">
        <v>118</v>
      </c>
      <c r="C112" s="16">
        <f>+C110-C111</f>
        <v>6666.66666666667</v>
      </c>
      <c r="D112" s="143">
        <f t="shared" si="10"/>
        <v>0.132837407013815</v>
      </c>
    </row>
    <row r="113" spans="2:4">
      <c r="B113" s="13" t="s">
        <v>119</v>
      </c>
      <c r="C113" s="18">
        <f>+C112*15%</f>
        <v>1000</v>
      </c>
      <c r="D113" s="143">
        <f t="shared" si="10"/>
        <v>0.0199256110520723</v>
      </c>
    </row>
    <row r="114" spans="2:4">
      <c r="B114" s="13" t="s">
        <v>120</v>
      </c>
      <c r="C114" s="18">
        <f>+C112*25%</f>
        <v>1666.66666666667</v>
      </c>
      <c r="D114" s="143">
        <f t="shared" si="10"/>
        <v>0.0332093517534538</v>
      </c>
    </row>
    <row r="115" spans="2:4">
      <c r="B115" s="19" t="s">
        <v>121</v>
      </c>
      <c r="C115" s="20">
        <f>+C112-C113-C114</f>
        <v>4000</v>
      </c>
      <c r="D115" s="143">
        <f t="shared" si="10"/>
        <v>0.0797024442082891</v>
      </c>
    </row>
    <row r="117" spans="2:2">
      <c r="B117" s="11" t="s">
        <v>122</v>
      </c>
    </row>
    <row r="119" spans="2:7">
      <c r="B119" s="144" t="s">
        <v>123</v>
      </c>
      <c r="C119" s="144"/>
      <c r="D119" s="144"/>
      <c r="E119" s="144"/>
      <c r="F119" s="144"/>
      <c r="G119" s="144"/>
    </row>
    <row r="120" spans="2:7">
      <c r="B120" s="144" t="s">
        <v>124</v>
      </c>
      <c r="C120" s="144"/>
      <c r="D120" s="144"/>
      <c r="E120" s="144"/>
      <c r="F120" s="144"/>
      <c r="G120" s="144"/>
    </row>
    <row r="121" spans="2:7">
      <c r="B121" s="144" t="s">
        <v>125</v>
      </c>
      <c r="C121" s="144"/>
      <c r="D121" s="144"/>
      <c r="E121" s="144"/>
      <c r="F121" s="144"/>
      <c r="G121" s="144"/>
    </row>
    <row r="122" ht="31.5" customHeight="1" spans="2:7">
      <c r="B122" s="144" t="s">
        <v>126</v>
      </c>
      <c r="C122" s="144"/>
      <c r="D122" s="144"/>
      <c r="E122" s="144"/>
      <c r="F122" s="144"/>
      <c r="G122" s="144"/>
    </row>
    <row r="123" spans="2:7">
      <c r="B123" s="144" t="s">
        <v>127</v>
      </c>
      <c r="C123" s="144"/>
      <c r="D123" s="144"/>
      <c r="E123" s="144"/>
      <c r="F123" s="144"/>
      <c r="G123" s="144"/>
    </row>
    <row r="124" ht="31.5" customHeight="1" spans="2:7">
      <c r="B124" s="42" t="s">
        <v>128</v>
      </c>
      <c r="C124" s="42"/>
      <c r="D124" s="42"/>
      <c r="E124" s="42"/>
      <c r="F124" s="42"/>
      <c r="G124" s="42"/>
    </row>
    <row r="126" spans="2:2">
      <c r="B126" s="145" t="s">
        <v>129</v>
      </c>
    </row>
    <row r="127" spans="2:2">
      <c r="B127" s="145" t="s">
        <v>130</v>
      </c>
    </row>
    <row r="128" spans="2:2">
      <c r="B128" s="145" t="s">
        <v>131</v>
      </c>
    </row>
    <row r="129" spans="2:2">
      <c r="B129" s="145" t="s">
        <v>132</v>
      </c>
    </row>
    <row r="130" spans="2:2">
      <c r="B130" s="145" t="s">
        <v>133</v>
      </c>
    </row>
    <row r="131" spans="2:2">
      <c r="B131" s="145" t="s">
        <v>134</v>
      </c>
    </row>
    <row r="132" spans="2:2">
      <c r="B132" s="145" t="s">
        <v>135</v>
      </c>
    </row>
    <row r="133" spans="2:2">
      <c r="B133" s="145" t="s">
        <v>130</v>
      </c>
    </row>
    <row r="134" spans="2:2">
      <c r="B134" s="145" t="s">
        <v>136</v>
      </c>
    </row>
    <row r="135" spans="2:2">
      <c r="B135" s="145" t="s">
        <v>137</v>
      </c>
    </row>
    <row r="136" spans="2:2">
      <c r="B136" s="145" t="s">
        <v>138</v>
      </c>
    </row>
    <row r="137" spans="2:2">
      <c r="B137" s="145" t="s">
        <v>139</v>
      </c>
    </row>
    <row r="138" spans="2:2">
      <c r="B138" s="145" t="s">
        <v>140</v>
      </c>
    </row>
  </sheetData>
  <mergeCells count="39">
    <mergeCell ref="B4:C4"/>
    <mergeCell ref="C14:D14"/>
    <mergeCell ref="C15:D15"/>
    <mergeCell ref="B25:C25"/>
    <mergeCell ref="C82:G82"/>
    <mergeCell ref="C84:G84"/>
    <mergeCell ref="B86:C86"/>
    <mergeCell ref="C94:D94"/>
    <mergeCell ref="C95:D95"/>
    <mergeCell ref="C96:D96"/>
    <mergeCell ref="C98:D98"/>
    <mergeCell ref="C99:D99"/>
    <mergeCell ref="B105:C105"/>
    <mergeCell ref="B119:F119"/>
    <mergeCell ref="B120:G120"/>
    <mergeCell ref="B121:G121"/>
    <mergeCell ref="B122:G122"/>
    <mergeCell ref="B123:G123"/>
    <mergeCell ref="B124:G124"/>
    <mergeCell ref="B14:B15"/>
    <mergeCell ref="B17:B18"/>
    <mergeCell ref="B32:B33"/>
    <mergeCell ref="B57:B58"/>
    <mergeCell ref="B82:B84"/>
    <mergeCell ref="B94:B96"/>
    <mergeCell ref="B98:B99"/>
    <mergeCell ref="B101:B102"/>
    <mergeCell ref="C32:C33"/>
    <mergeCell ref="C57:C58"/>
    <mergeCell ref="C101:C102"/>
    <mergeCell ref="D32:D33"/>
    <mergeCell ref="D57:D58"/>
    <mergeCell ref="D101:D102"/>
    <mergeCell ref="E32:E33"/>
    <mergeCell ref="E57:E58"/>
    <mergeCell ref="E101:E102"/>
    <mergeCell ref="F32:F33"/>
    <mergeCell ref="F57:F58"/>
    <mergeCell ref="G57:G58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44"/>
  <sheetViews>
    <sheetView tabSelected="1" workbookViewId="0">
      <selection activeCell="E22" sqref="E22"/>
    </sheetView>
  </sheetViews>
  <sheetFormatPr defaultColWidth="11" defaultRowHeight="15.75"/>
  <cols>
    <col min="1" max="1" width="11" style="13"/>
    <col min="2" max="2" width="12.75" style="13" customWidth="1"/>
    <col min="3" max="3" width="11" style="113"/>
    <col min="4" max="16384" width="11" style="13"/>
  </cols>
  <sheetData>
    <row r="2" spans="2:10">
      <c r="B2" s="114" t="s">
        <v>141</v>
      </c>
      <c r="C2" s="115"/>
      <c r="D2" s="115"/>
      <c r="E2" s="115"/>
      <c r="F2" s="115"/>
      <c r="G2" s="115"/>
      <c r="H2" s="115"/>
      <c r="I2" s="115"/>
      <c r="J2" s="124"/>
    </row>
    <row r="3" spans="2:10">
      <c r="B3" s="116"/>
      <c r="C3" s="117"/>
      <c r="D3" s="117"/>
      <c r="E3" s="117"/>
      <c r="F3" s="117"/>
      <c r="G3" s="117"/>
      <c r="H3" s="117"/>
      <c r="I3" s="117"/>
      <c r="J3" s="125"/>
    </row>
    <row r="4" spans="2:10">
      <c r="B4" s="116"/>
      <c r="C4" s="117"/>
      <c r="D4" s="117"/>
      <c r="E4" s="117"/>
      <c r="F4" s="117"/>
      <c r="G4" s="117"/>
      <c r="H4" s="117"/>
      <c r="I4" s="117"/>
      <c r="J4" s="125"/>
    </row>
    <row r="5" spans="2:10">
      <c r="B5" s="116"/>
      <c r="C5" s="117"/>
      <c r="D5" s="117"/>
      <c r="E5" s="117"/>
      <c r="F5" s="117"/>
      <c r="G5" s="117"/>
      <c r="H5" s="117"/>
      <c r="I5" s="117"/>
      <c r="J5" s="125"/>
    </row>
    <row r="6" spans="2:10">
      <c r="B6" s="116"/>
      <c r="C6" s="117"/>
      <c r="D6" s="117"/>
      <c r="E6" s="117"/>
      <c r="F6" s="117"/>
      <c r="G6" s="117"/>
      <c r="H6" s="117"/>
      <c r="I6" s="117"/>
      <c r="J6" s="125"/>
    </row>
    <row r="7" spans="2:10">
      <c r="B7" s="116"/>
      <c r="C7" s="117"/>
      <c r="D7" s="117"/>
      <c r="E7" s="117"/>
      <c r="F7" s="117"/>
      <c r="G7" s="117"/>
      <c r="H7" s="117"/>
      <c r="I7" s="117"/>
      <c r="J7" s="125"/>
    </row>
    <row r="8" spans="2:10">
      <c r="B8" s="116"/>
      <c r="C8" s="117"/>
      <c r="D8" s="117"/>
      <c r="E8" s="117"/>
      <c r="F8" s="117"/>
      <c r="G8" s="117"/>
      <c r="H8" s="117"/>
      <c r="I8" s="117"/>
      <c r="J8" s="125"/>
    </row>
    <row r="9" spans="2:10">
      <c r="B9" s="118"/>
      <c r="C9" s="119"/>
      <c r="D9" s="119"/>
      <c r="E9" s="119"/>
      <c r="F9" s="119"/>
      <c r="G9" s="119"/>
      <c r="H9" s="119"/>
      <c r="I9" s="119"/>
      <c r="J9" s="126"/>
    </row>
    <row r="12" spans="2:2">
      <c r="B12" s="15" t="s">
        <v>74</v>
      </c>
    </row>
    <row r="13" spans="2:3">
      <c r="B13" s="13" t="s">
        <v>142</v>
      </c>
      <c r="C13" s="113">
        <v>15600</v>
      </c>
    </row>
    <row r="14" spans="2:5">
      <c r="B14" s="13" t="s">
        <v>143</v>
      </c>
      <c r="C14" s="113">
        <v>0.75</v>
      </c>
      <c r="D14" s="120">
        <f>+C14/2</f>
        <v>0.375</v>
      </c>
      <c r="E14" s="19" t="s">
        <v>144</v>
      </c>
    </row>
    <row r="15" spans="2:5">
      <c r="B15" s="13" t="s">
        <v>145</v>
      </c>
      <c r="C15" s="113">
        <v>0.95</v>
      </c>
      <c r="D15" s="120">
        <f>+C15/2</f>
        <v>0.475</v>
      </c>
      <c r="E15" s="19" t="s">
        <v>144</v>
      </c>
    </row>
    <row r="16" spans="2:3">
      <c r="B16" s="13" t="s">
        <v>146</v>
      </c>
      <c r="C16" s="113">
        <v>1.1</v>
      </c>
    </row>
    <row r="17" spans="2:3">
      <c r="B17" s="13" t="s">
        <v>147</v>
      </c>
      <c r="C17" s="113">
        <v>1.45</v>
      </c>
    </row>
    <row r="18" spans="2:2">
      <c r="B18" s="13" t="s">
        <v>148</v>
      </c>
    </row>
    <row r="20" spans="2:2">
      <c r="B20" s="15" t="s">
        <v>149</v>
      </c>
    </row>
    <row r="21" spans="2:3">
      <c r="B21" s="44" t="s">
        <v>150</v>
      </c>
      <c r="C21" s="113" t="s">
        <v>151</v>
      </c>
    </row>
    <row r="22" spans="2:3">
      <c r="B22" s="26" t="s">
        <v>150</v>
      </c>
      <c r="C22" s="121">
        <f>2*(0.38)+1*(0.48)</f>
        <v>1.24</v>
      </c>
    </row>
    <row r="25" spans="2:3">
      <c r="B25" s="44" t="s">
        <v>152</v>
      </c>
      <c r="C25" s="113" t="s">
        <v>153</v>
      </c>
    </row>
    <row r="26" spans="2:3">
      <c r="B26" s="26" t="s">
        <v>154</v>
      </c>
      <c r="C26" s="122">
        <f>+C13/C22</f>
        <v>12580.6451612903</v>
      </c>
    </row>
    <row r="28" spans="2:3">
      <c r="B28" s="12" t="s">
        <v>155</v>
      </c>
      <c r="C28" s="12"/>
    </row>
    <row r="29" spans="2:3">
      <c r="B29" s="26" t="s">
        <v>156</v>
      </c>
      <c r="C29" s="113" t="s">
        <v>157</v>
      </c>
    </row>
    <row r="30" spans="2:4">
      <c r="B30" s="26" t="s">
        <v>156</v>
      </c>
      <c r="C30" s="123">
        <f>2*12581</f>
        <v>25162</v>
      </c>
      <c r="D30" s="13" t="s">
        <v>158</v>
      </c>
    </row>
    <row r="31" spans="2:3">
      <c r="B31" s="15"/>
      <c r="C31" s="121"/>
    </row>
    <row r="32" spans="2:3">
      <c r="B32" s="26" t="s">
        <v>159</v>
      </c>
      <c r="C32" s="113" t="s">
        <v>160</v>
      </c>
    </row>
    <row r="33" spans="2:4">
      <c r="B33" s="26" t="s">
        <v>159</v>
      </c>
      <c r="C33" s="123">
        <v>12581</v>
      </c>
      <c r="D33" s="13" t="s">
        <v>161</v>
      </c>
    </row>
    <row r="36" spans="2:2">
      <c r="B36" s="15" t="s">
        <v>162</v>
      </c>
    </row>
    <row r="38" spans="2:3">
      <c r="B38" s="44" t="s">
        <v>163</v>
      </c>
      <c r="C38" s="113" t="s">
        <v>153</v>
      </c>
    </row>
    <row r="39" spans="2:3">
      <c r="B39" s="26" t="s">
        <v>163</v>
      </c>
      <c r="C39" s="122">
        <f>+C13/0.38</f>
        <v>41052.6315789474</v>
      </c>
    </row>
    <row r="42" spans="2:2">
      <c r="B42" s="15" t="s">
        <v>164</v>
      </c>
    </row>
    <row r="43" spans="2:3">
      <c r="B43" s="44" t="s">
        <v>163</v>
      </c>
      <c r="C43" s="113" t="str">
        <f>+C38</f>
        <v>CF/MC</v>
      </c>
    </row>
    <row r="44" spans="2:3">
      <c r="B44" s="26" t="s">
        <v>163</v>
      </c>
      <c r="C44" s="123">
        <f>+C13/0.48</f>
        <v>32500</v>
      </c>
    </row>
  </sheetData>
  <mergeCells count="2">
    <mergeCell ref="B28:C28"/>
    <mergeCell ref="B2:J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8"/>
  <sheetViews>
    <sheetView topLeftCell="A28" workbookViewId="0">
      <selection activeCell="J44" sqref="J44"/>
    </sheetView>
  </sheetViews>
  <sheetFormatPr defaultColWidth="11" defaultRowHeight="15.75"/>
  <cols>
    <col min="1" max="1" width="2" style="48" customWidth="1"/>
    <col min="2" max="2" width="5.125" style="48" customWidth="1"/>
    <col min="3" max="3" width="7.875" style="48" customWidth="1"/>
    <col min="4" max="4" width="2.625" style="47" customWidth="1"/>
    <col min="5" max="5" width="15.75" style="48" customWidth="1"/>
    <col min="6" max="6" width="2.375" style="48" customWidth="1"/>
    <col min="7" max="7" width="15.625" style="48" customWidth="1"/>
    <col min="8" max="8" width="3.125" style="48" customWidth="1"/>
    <col min="9" max="9" width="8.375" style="48" customWidth="1"/>
    <col min="10" max="10" width="11" style="48"/>
    <col min="11" max="11" width="2.5" style="48" customWidth="1"/>
    <col min="12" max="12" width="13.625" style="48" customWidth="1"/>
    <col min="13" max="13" width="2.25" style="48" customWidth="1"/>
    <col min="14" max="14" width="13.625" style="48" customWidth="1"/>
    <col min="15" max="15" width="4.25" style="48" customWidth="1"/>
    <col min="16" max="16" width="2.75" style="48" customWidth="1"/>
    <col min="17" max="17" width="11" style="48"/>
    <col min="18" max="18" width="1.875" style="48" customWidth="1"/>
    <col min="19" max="16384" width="11" style="48"/>
  </cols>
  <sheetData>
    <row r="1" spans="1:1">
      <c r="A1" s="49"/>
    </row>
    <row r="2" spans="3:3">
      <c r="C2" s="48" t="s">
        <v>165</v>
      </c>
    </row>
    <row r="4" spans="5:10">
      <c r="E4" s="50" t="s">
        <v>166</v>
      </c>
      <c r="G4" s="50" t="s">
        <v>167</v>
      </c>
      <c r="I4" s="48" t="s">
        <v>168</v>
      </c>
      <c r="J4" s="48" t="s">
        <v>169</v>
      </c>
    </row>
    <row r="5" spans="2:10">
      <c r="B5" s="48" t="s">
        <v>170</v>
      </c>
      <c r="D5" s="47" t="s">
        <v>171</v>
      </c>
      <c r="E5" s="48">
        <v>275</v>
      </c>
      <c r="G5" s="48">
        <v>100</v>
      </c>
      <c r="I5" s="48" t="s">
        <v>172</v>
      </c>
      <c r="J5" s="48" t="s">
        <v>173</v>
      </c>
    </row>
    <row r="6" spans="2:10">
      <c r="B6" s="48" t="s">
        <v>174</v>
      </c>
      <c r="D6" s="47" t="s">
        <v>171</v>
      </c>
      <c r="E6" s="48">
        <v>35</v>
      </c>
      <c r="G6" s="48">
        <v>35</v>
      </c>
      <c r="I6" s="48" t="s">
        <v>175</v>
      </c>
      <c r="J6" s="48" t="s">
        <v>176</v>
      </c>
    </row>
    <row r="7" spans="2:7">
      <c r="B7" s="48" t="s">
        <v>177</v>
      </c>
      <c r="D7" s="47" t="s">
        <v>171</v>
      </c>
      <c r="E7" s="48">
        <v>65</v>
      </c>
      <c r="G7" s="48">
        <v>15</v>
      </c>
    </row>
    <row r="8" spans="2:7">
      <c r="B8" s="51" t="s">
        <v>168</v>
      </c>
      <c r="D8" s="47" t="s">
        <v>171</v>
      </c>
      <c r="E8" s="51">
        <f>+E6+E7</f>
        <v>100</v>
      </c>
      <c r="G8" s="51">
        <f>+G6+G7</f>
        <v>50</v>
      </c>
    </row>
    <row r="9" ht="48" customHeight="1" spans="2:5">
      <c r="B9" s="52" t="s">
        <v>178</v>
      </c>
      <c r="C9" s="52"/>
      <c r="D9" s="47" t="s">
        <v>171</v>
      </c>
      <c r="E9" s="53">
        <v>15000000</v>
      </c>
    </row>
    <row r="10" spans="2:7">
      <c r="B10" s="48" t="s">
        <v>179</v>
      </c>
      <c r="D10" s="47" t="s">
        <v>171</v>
      </c>
      <c r="E10" s="54">
        <v>0.6</v>
      </c>
      <c r="G10" s="54">
        <v>0.4</v>
      </c>
    </row>
    <row r="13" spans="2:2">
      <c r="B13" s="55" t="s">
        <v>180</v>
      </c>
    </row>
    <row r="15" spans="2:14">
      <c r="B15" s="56" t="s">
        <v>181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7" spans="2:2">
      <c r="B17" s="55" t="s">
        <v>182</v>
      </c>
    </row>
    <row r="19" spans="3:14">
      <c r="C19" s="57" t="s">
        <v>183</v>
      </c>
      <c r="D19" s="58"/>
      <c r="E19" s="58"/>
      <c r="F19" s="58"/>
      <c r="G19" s="59"/>
      <c r="J19" s="103" t="s">
        <v>183</v>
      </c>
      <c r="K19" s="80"/>
      <c r="L19" s="80"/>
      <c r="M19" s="80"/>
      <c r="N19" s="83"/>
    </row>
    <row r="20" spans="3:14">
      <c r="C20" s="60"/>
      <c r="G20" s="61"/>
      <c r="J20" s="60"/>
      <c r="N20" s="61"/>
    </row>
    <row r="21" ht="36" customHeight="1" spans="3:14">
      <c r="C21" s="62" t="s">
        <v>168</v>
      </c>
      <c r="D21" s="50" t="s">
        <v>171</v>
      </c>
      <c r="E21" s="50" t="s">
        <v>184</v>
      </c>
      <c r="F21" s="50" t="s">
        <v>185</v>
      </c>
      <c r="G21" s="63" t="s">
        <v>186</v>
      </c>
      <c r="H21" s="50"/>
      <c r="I21" s="50"/>
      <c r="J21" s="62" t="s">
        <v>168</v>
      </c>
      <c r="K21" s="50" t="s">
        <v>171</v>
      </c>
      <c r="L21" s="50" t="s">
        <v>184</v>
      </c>
      <c r="M21" s="50" t="s">
        <v>185</v>
      </c>
      <c r="N21" s="63" t="s">
        <v>186</v>
      </c>
    </row>
    <row r="22" spans="3:14">
      <c r="C22" s="64" t="s">
        <v>168</v>
      </c>
      <c r="D22" s="47" t="s">
        <v>171</v>
      </c>
      <c r="E22" s="47">
        <v>35</v>
      </c>
      <c r="F22" s="47" t="s">
        <v>185</v>
      </c>
      <c r="G22" s="65">
        <v>65</v>
      </c>
      <c r="J22" s="64" t="s">
        <v>168</v>
      </c>
      <c r="K22" s="48" t="s">
        <v>171</v>
      </c>
      <c r="L22" s="48">
        <f>+G6</f>
        <v>35</v>
      </c>
      <c r="M22" s="48" t="s">
        <v>185</v>
      </c>
      <c r="N22" s="61">
        <f>+G7</f>
        <v>15</v>
      </c>
    </row>
    <row r="23" spans="3:14">
      <c r="C23" s="66" t="s">
        <v>168</v>
      </c>
      <c r="D23" s="67" t="s">
        <v>171</v>
      </c>
      <c r="E23" s="67">
        <f>+E22+G22</f>
        <v>100</v>
      </c>
      <c r="F23" s="67"/>
      <c r="G23" s="68"/>
      <c r="J23" s="66" t="s">
        <v>168</v>
      </c>
      <c r="K23" s="81" t="s">
        <v>171</v>
      </c>
      <c r="L23" s="81">
        <f>+L22+N22</f>
        <v>50</v>
      </c>
      <c r="M23" s="81"/>
      <c r="N23" s="104"/>
    </row>
    <row r="25" s="47" customFormat="1" ht="16.9" customHeight="1" spans="7:11">
      <c r="G25" s="69" t="s">
        <v>187</v>
      </c>
      <c r="H25" s="70" t="s">
        <v>171</v>
      </c>
      <c r="I25" s="70">
        <f>+E23</f>
        <v>100</v>
      </c>
      <c r="J25" s="70" t="s">
        <v>185</v>
      </c>
      <c r="K25" s="105">
        <f>+L23</f>
        <v>50</v>
      </c>
    </row>
    <row r="26" spans="7:11">
      <c r="G26" s="66" t="s">
        <v>187</v>
      </c>
      <c r="H26" s="71" t="s">
        <v>171</v>
      </c>
      <c r="I26" s="81">
        <f>+I25+K25</f>
        <v>150</v>
      </c>
      <c r="J26" s="81"/>
      <c r="K26" s="104"/>
    </row>
    <row r="29" spans="2:2">
      <c r="B29" s="55" t="s">
        <v>188</v>
      </c>
    </row>
    <row r="31" spans="3:15">
      <c r="C31" s="72" t="s">
        <v>183</v>
      </c>
      <c r="D31" s="73"/>
      <c r="E31" s="73"/>
      <c r="F31" s="73"/>
      <c r="G31" s="74"/>
      <c r="J31" s="72" t="s">
        <v>167</v>
      </c>
      <c r="K31" s="73"/>
      <c r="L31" s="73"/>
      <c r="M31" s="73"/>
      <c r="N31" s="73"/>
      <c r="O31" s="74"/>
    </row>
    <row r="32" ht="31.5" spans="3:15">
      <c r="C32" s="64" t="s">
        <v>172</v>
      </c>
      <c r="D32" s="47" t="s">
        <v>171</v>
      </c>
      <c r="E32" s="47" t="s">
        <v>189</v>
      </c>
      <c r="F32" s="47" t="s">
        <v>38</v>
      </c>
      <c r="G32" s="63" t="s">
        <v>169</v>
      </c>
      <c r="J32" s="64" t="s">
        <v>172</v>
      </c>
      <c r="K32" s="48" t="s">
        <v>171</v>
      </c>
      <c r="L32" s="48" t="s">
        <v>189</v>
      </c>
      <c r="M32" s="48" t="s">
        <v>38</v>
      </c>
      <c r="N32" s="48" t="s">
        <v>169</v>
      </c>
      <c r="O32" s="61"/>
    </row>
    <row r="33" spans="3:15">
      <c r="C33" s="64" t="s">
        <v>172</v>
      </c>
      <c r="D33" s="47" t="s">
        <v>171</v>
      </c>
      <c r="E33" s="75">
        <f>+E5</f>
        <v>275</v>
      </c>
      <c r="F33" s="47" t="s">
        <v>38</v>
      </c>
      <c r="G33" s="76">
        <f>+E23</f>
        <v>100</v>
      </c>
      <c r="J33" s="64" t="s">
        <v>172</v>
      </c>
      <c r="K33" s="48" t="s">
        <v>171</v>
      </c>
      <c r="L33" s="48">
        <f>+G5</f>
        <v>100</v>
      </c>
      <c r="M33" s="48" t="s">
        <v>38</v>
      </c>
      <c r="N33" s="106">
        <f>+L23</f>
        <v>50</v>
      </c>
      <c r="O33" s="61"/>
    </row>
    <row r="34" spans="3:15">
      <c r="C34" s="66" t="s">
        <v>172</v>
      </c>
      <c r="D34" s="67" t="s">
        <v>171</v>
      </c>
      <c r="E34" s="67">
        <f>+E33-G33</f>
        <v>175</v>
      </c>
      <c r="F34" s="67"/>
      <c r="G34" s="68"/>
      <c r="J34" s="66" t="s">
        <v>172</v>
      </c>
      <c r="K34" s="81" t="s">
        <v>171</v>
      </c>
      <c r="L34" s="81">
        <f>+L33-N33</f>
        <v>50</v>
      </c>
      <c r="M34" s="81"/>
      <c r="N34" s="81"/>
      <c r="O34" s="104"/>
    </row>
    <row r="35" spans="3:3">
      <c r="C35" s="77"/>
    </row>
    <row r="36" spans="3:14">
      <c r="C36" s="78"/>
      <c r="G36" s="79" t="s">
        <v>172</v>
      </c>
      <c r="H36" s="80" t="s">
        <v>171</v>
      </c>
      <c r="I36" s="80" t="s">
        <v>190</v>
      </c>
      <c r="J36" s="80"/>
      <c r="K36" s="80"/>
      <c r="L36" s="80"/>
      <c r="M36" s="80"/>
      <c r="N36" s="83"/>
    </row>
    <row r="37" spans="3:14">
      <c r="C37" s="78"/>
      <c r="G37" s="64" t="s">
        <v>172</v>
      </c>
      <c r="H37" s="48" t="s">
        <v>171</v>
      </c>
      <c r="I37" s="48" t="s">
        <v>191</v>
      </c>
      <c r="N37" s="61"/>
    </row>
    <row r="38" spans="7:14">
      <c r="G38" s="66" t="s">
        <v>172</v>
      </c>
      <c r="H38" s="81" t="s">
        <v>171</v>
      </c>
      <c r="I38" s="81">
        <f>(E34*E10)+(L34*G10)</f>
        <v>125</v>
      </c>
      <c r="J38" s="81"/>
      <c r="K38" s="81"/>
      <c r="L38" s="81"/>
      <c r="M38" s="81"/>
      <c r="N38" s="104"/>
    </row>
    <row r="39" spans="7:7">
      <c r="G39" s="77"/>
    </row>
    <row r="41" spans="3:5">
      <c r="C41" s="79" t="s">
        <v>192</v>
      </c>
      <c r="D41" s="82" t="s">
        <v>171</v>
      </c>
      <c r="E41" s="83" t="s">
        <v>153</v>
      </c>
    </row>
    <row r="42" spans="3:5">
      <c r="C42" s="64" t="s">
        <v>192</v>
      </c>
      <c r="D42" s="47" t="s">
        <v>171</v>
      </c>
      <c r="E42" s="61" t="s">
        <v>193</v>
      </c>
    </row>
    <row r="43" spans="3:5">
      <c r="C43" s="66" t="s">
        <v>192</v>
      </c>
      <c r="D43" s="67" t="s">
        <v>171</v>
      </c>
      <c r="E43" s="84">
        <f>+E9/I38</f>
        <v>120000</v>
      </c>
    </row>
    <row r="44" spans="7:12">
      <c r="G44" s="78"/>
      <c r="H44" s="78"/>
      <c r="I44" s="107"/>
      <c r="L44" s="77"/>
    </row>
    <row r="45" spans="3:12">
      <c r="C45" s="56" t="s">
        <v>194</v>
      </c>
      <c r="D45" s="56"/>
      <c r="E45" s="56"/>
      <c r="F45" s="56"/>
      <c r="G45" s="56"/>
      <c r="H45" s="56"/>
      <c r="I45" s="56"/>
      <c r="J45" s="56"/>
      <c r="L45" s="77"/>
    </row>
    <row r="46" spans="3:12">
      <c r="C46" s="56"/>
      <c r="D46" s="56"/>
      <c r="E46" s="56"/>
      <c r="F46" s="56"/>
      <c r="G46" s="56"/>
      <c r="H46" s="56"/>
      <c r="I46" s="56"/>
      <c r="J46" s="56"/>
      <c r="L46" s="77"/>
    </row>
    <row r="47" spans="3:12">
      <c r="C47" s="85" t="s">
        <v>166</v>
      </c>
      <c r="D47" s="86"/>
      <c r="E47" s="86"/>
      <c r="F47" s="87"/>
      <c r="G47" s="88" t="s">
        <v>167</v>
      </c>
      <c r="H47" s="88"/>
      <c r="I47" s="88"/>
      <c r="J47" s="108"/>
      <c r="L47" s="77"/>
    </row>
    <row r="48" spans="3:12">
      <c r="C48" s="64" t="s">
        <v>172</v>
      </c>
      <c r="D48" s="47" t="s">
        <v>171</v>
      </c>
      <c r="E48" s="89">
        <f>+E5-E8</f>
        <v>175</v>
      </c>
      <c r="F48" s="89"/>
      <c r="G48" s="89">
        <f>+G8</f>
        <v>50</v>
      </c>
      <c r="H48" s="50"/>
      <c r="I48" s="47"/>
      <c r="J48" s="65"/>
      <c r="L48" s="109"/>
    </row>
    <row r="49" spans="3:12">
      <c r="C49" s="64" t="s">
        <v>179</v>
      </c>
      <c r="D49" s="47" t="s">
        <v>171</v>
      </c>
      <c r="E49" s="90">
        <v>0.6</v>
      </c>
      <c r="F49" s="89"/>
      <c r="G49" s="90">
        <v>0.4</v>
      </c>
      <c r="H49" s="50"/>
      <c r="I49" s="47"/>
      <c r="J49" s="65"/>
      <c r="L49" s="77"/>
    </row>
    <row r="50" spans="3:12">
      <c r="C50" s="64" t="s">
        <v>195</v>
      </c>
      <c r="D50" s="47" t="s">
        <v>171</v>
      </c>
      <c r="E50" s="89"/>
      <c r="F50" s="89"/>
      <c r="G50" s="47"/>
      <c r="H50" s="89">
        <v>15000000</v>
      </c>
      <c r="I50" s="89"/>
      <c r="J50" s="110"/>
      <c r="L50" s="77"/>
    </row>
    <row r="51" spans="3:12">
      <c r="C51" s="64" t="s">
        <v>175</v>
      </c>
      <c r="D51" s="47" t="s">
        <v>171</v>
      </c>
      <c r="E51" s="89">
        <f>+E48*E49</f>
        <v>105</v>
      </c>
      <c r="F51" s="89"/>
      <c r="G51" s="89">
        <f>+G48*G49</f>
        <v>20</v>
      </c>
      <c r="H51" s="89">
        <f>+E51+G51</f>
        <v>125</v>
      </c>
      <c r="I51" s="89"/>
      <c r="J51" s="110"/>
      <c r="L51" s="77"/>
    </row>
    <row r="52" spans="3:12">
      <c r="C52" s="91" t="s">
        <v>196</v>
      </c>
      <c r="D52" s="92" t="s">
        <v>171</v>
      </c>
      <c r="E52" s="93">
        <f>+H50/H51</f>
        <v>120000</v>
      </c>
      <c r="F52" s="89"/>
      <c r="G52" s="89"/>
      <c r="H52" s="50"/>
      <c r="I52" s="47"/>
      <c r="J52" s="65"/>
      <c r="L52" s="77"/>
    </row>
    <row r="53" spans="3:12">
      <c r="C53" s="66" t="s">
        <v>197</v>
      </c>
      <c r="D53" s="94"/>
      <c r="E53" s="95">
        <f>+E52*E49</f>
        <v>72000</v>
      </c>
      <c r="F53" s="94"/>
      <c r="G53" s="96">
        <f>+E52*G49</f>
        <v>48000</v>
      </c>
      <c r="H53" s="97"/>
      <c r="I53" s="67"/>
      <c r="J53" s="68"/>
      <c r="L53" s="77"/>
    </row>
    <row r="54" spans="3:12">
      <c r="C54" s="77"/>
      <c r="G54" s="78"/>
      <c r="H54" s="78"/>
      <c r="I54" s="107"/>
      <c r="L54" s="77"/>
    </row>
    <row r="55" ht="14.45" customHeight="1" spans="2:12">
      <c r="B55" s="98" t="s">
        <v>198</v>
      </c>
      <c r="C55" s="98"/>
      <c r="D55" s="98"/>
      <c r="E55" s="98"/>
      <c r="F55" s="98"/>
      <c r="G55" s="98"/>
      <c r="H55" s="98"/>
      <c r="I55" s="98"/>
      <c r="J55" s="98"/>
      <c r="L55" s="77"/>
    </row>
    <row r="56" spans="2:19">
      <c r="B56" s="98"/>
      <c r="C56" s="98"/>
      <c r="D56" s="98"/>
      <c r="E56" s="98"/>
      <c r="F56" s="98"/>
      <c r="G56" s="98"/>
      <c r="H56" s="98"/>
      <c r="I56" s="98"/>
      <c r="J56" s="98"/>
      <c r="L56" s="77"/>
      <c r="S56" s="111"/>
    </row>
    <row r="57" spans="7:12">
      <c r="G57" s="78"/>
      <c r="H57" s="78"/>
      <c r="I57" s="107"/>
      <c r="L57" s="77"/>
    </row>
    <row r="58" spans="3:12">
      <c r="C58" s="77" t="s">
        <v>199</v>
      </c>
      <c r="D58" s="47" t="s">
        <v>171</v>
      </c>
      <c r="E58" s="48" t="s">
        <v>200</v>
      </c>
      <c r="G58" s="78"/>
      <c r="H58" s="78"/>
      <c r="I58" s="107"/>
      <c r="L58" s="77"/>
    </row>
    <row r="59" spans="3:12">
      <c r="C59" s="77" t="s">
        <v>199</v>
      </c>
      <c r="D59" s="47" t="s">
        <v>171</v>
      </c>
      <c r="E59" s="48" t="s">
        <v>201</v>
      </c>
      <c r="G59" s="78"/>
      <c r="H59" s="78"/>
      <c r="I59" s="107"/>
      <c r="L59" s="77"/>
    </row>
    <row r="60" spans="3:12">
      <c r="C60" s="99" t="s">
        <v>199</v>
      </c>
      <c r="D60" s="100" t="s">
        <v>171</v>
      </c>
      <c r="E60" s="101">
        <f>(220000*I38)-15000000</f>
        <v>12500000</v>
      </c>
      <c r="G60" s="78"/>
      <c r="H60" s="78"/>
      <c r="I60" s="107"/>
      <c r="L60" s="77"/>
    </row>
    <row r="61" spans="7:12">
      <c r="G61" s="78"/>
      <c r="H61" s="78"/>
      <c r="I61" s="107"/>
      <c r="L61" s="77"/>
    </row>
    <row r="62" spans="2:12">
      <c r="B62" s="55" t="s">
        <v>202</v>
      </c>
      <c r="G62" s="78"/>
      <c r="H62" s="78"/>
      <c r="I62" s="107"/>
      <c r="L62" s="77"/>
    </row>
    <row r="63" spans="2:12">
      <c r="B63" s="102" t="s">
        <v>203</v>
      </c>
      <c r="G63" s="78"/>
      <c r="H63" s="78"/>
      <c r="I63" s="107"/>
      <c r="L63" s="77"/>
    </row>
    <row r="64" spans="7:12">
      <c r="G64" s="78"/>
      <c r="H64" s="78"/>
      <c r="I64" s="107"/>
      <c r="L64" s="77"/>
    </row>
    <row r="65" spans="3:12">
      <c r="C65" s="85" t="s">
        <v>166</v>
      </c>
      <c r="D65" s="86"/>
      <c r="E65" s="86"/>
      <c r="F65" s="87"/>
      <c r="G65" s="88" t="s">
        <v>167</v>
      </c>
      <c r="H65" s="88"/>
      <c r="I65" s="88"/>
      <c r="J65" s="108"/>
      <c r="L65" s="77"/>
    </row>
    <row r="66" spans="3:10">
      <c r="C66" s="64" t="s">
        <v>172</v>
      </c>
      <c r="D66" s="47" t="s">
        <v>171</v>
      </c>
      <c r="E66" s="89">
        <f>+E34</f>
        <v>175</v>
      </c>
      <c r="F66" s="89"/>
      <c r="G66" s="89">
        <f>+L23</f>
        <v>50</v>
      </c>
      <c r="H66" s="50"/>
      <c r="I66" s="47"/>
      <c r="J66" s="65"/>
    </row>
    <row r="67" spans="3:10">
      <c r="C67" s="64" t="s">
        <v>179</v>
      </c>
      <c r="D67" s="47" t="s">
        <v>171</v>
      </c>
      <c r="E67" s="90">
        <v>0.4</v>
      </c>
      <c r="F67" s="89"/>
      <c r="G67" s="90">
        <v>0.6</v>
      </c>
      <c r="H67" s="50"/>
      <c r="I67" s="47"/>
      <c r="J67" s="65"/>
    </row>
    <row r="68" spans="3:10">
      <c r="C68" s="64" t="s">
        <v>195</v>
      </c>
      <c r="D68" s="47" t="s">
        <v>171</v>
      </c>
      <c r="E68" s="89"/>
      <c r="F68" s="89"/>
      <c r="G68" s="47"/>
      <c r="H68" s="89">
        <v>15000000</v>
      </c>
      <c r="I68" s="89"/>
      <c r="J68" s="110"/>
    </row>
    <row r="69" spans="3:10">
      <c r="C69" s="64" t="s">
        <v>175</v>
      </c>
      <c r="D69" s="47" t="s">
        <v>171</v>
      </c>
      <c r="E69" s="89">
        <f>+E66*E67</f>
        <v>70</v>
      </c>
      <c r="F69" s="89"/>
      <c r="G69" s="89">
        <f>+G66*G67</f>
        <v>30</v>
      </c>
      <c r="H69" s="89">
        <f>+E69+G69</f>
        <v>100</v>
      </c>
      <c r="I69" s="89"/>
      <c r="J69" s="110"/>
    </row>
    <row r="70" spans="3:10">
      <c r="C70" s="91" t="s">
        <v>196</v>
      </c>
      <c r="D70" s="92" t="s">
        <v>171</v>
      </c>
      <c r="E70" s="93">
        <f>+H68/H69</f>
        <v>150000</v>
      </c>
      <c r="F70" s="89"/>
      <c r="G70" s="89"/>
      <c r="H70" s="50"/>
      <c r="I70" s="47"/>
      <c r="J70" s="65"/>
    </row>
    <row r="71" spans="3:10">
      <c r="C71" s="66" t="s">
        <v>197</v>
      </c>
      <c r="D71" s="94"/>
      <c r="E71" s="95">
        <f>+E70*E67</f>
        <v>60000</v>
      </c>
      <c r="F71" s="94"/>
      <c r="G71" s="96">
        <f>+E70*G67</f>
        <v>90000</v>
      </c>
      <c r="H71" s="97"/>
      <c r="I71" s="67"/>
      <c r="J71" s="68"/>
    </row>
    <row r="73" spans="3:3">
      <c r="C73" s="102" t="s">
        <v>204</v>
      </c>
    </row>
    <row r="75" spans="3:10">
      <c r="C75" s="85" t="s">
        <v>166</v>
      </c>
      <c r="D75" s="86"/>
      <c r="E75" s="86"/>
      <c r="F75" s="87"/>
      <c r="G75" s="88" t="s">
        <v>167</v>
      </c>
      <c r="H75" s="88"/>
      <c r="I75" s="88"/>
      <c r="J75" s="108"/>
    </row>
    <row r="76" spans="3:10">
      <c r="C76" s="64" t="s">
        <v>172</v>
      </c>
      <c r="D76" s="47" t="s">
        <v>171</v>
      </c>
      <c r="E76" s="89">
        <f>+E34</f>
        <v>175</v>
      </c>
      <c r="F76" s="89"/>
      <c r="G76" s="89">
        <f>+L34</f>
        <v>50</v>
      </c>
      <c r="H76" s="50"/>
      <c r="I76" s="47"/>
      <c r="J76" s="65"/>
    </row>
    <row r="77" spans="3:10">
      <c r="C77" s="64" t="s">
        <v>179</v>
      </c>
      <c r="D77" s="47" t="s">
        <v>171</v>
      </c>
      <c r="E77" s="90">
        <v>0.8</v>
      </c>
      <c r="F77" s="89"/>
      <c r="G77" s="90">
        <v>0.2</v>
      </c>
      <c r="H77" s="50"/>
      <c r="I77" s="47"/>
      <c r="J77" s="65"/>
    </row>
    <row r="78" spans="3:10">
      <c r="C78" s="64" t="s">
        <v>195</v>
      </c>
      <c r="D78" s="47" t="s">
        <v>171</v>
      </c>
      <c r="E78" s="89"/>
      <c r="F78" s="89"/>
      <c r="G78" s="47"/>
      <c r="H78" s="89">
        <v>15000000</v>
      </c>
      <c r="I78" s="89"/>
      <c r="J78" s="110"/>
    </row>
    <row r="79" spans="3:10">
      <c r="C79" s="64" t="s">
        <v>175</v>
      </c>
      <c r="D79" s="47" t="s">
        <v>171</v>
      </c>
      <c r="E79" s="89">
        <f>+E76*E77</f>
        <v>140</v>
      </c>
      <c r="F79" s="89"/>
      <c r="G79" s="89">
        <f>+G76*G77</f>
        <v>10</v>
      </c>
      <c r="H79" s="89">
        <f>+E79+G79</f>
        <v>150</v>
      </c>
      <c r="I79" s="89"/>
      <c r="J79" s="110"/>
    </row>
    <row r="80" spans="3:10">
      <c r="C80" s="91" t="s">
        <v>196</v>
      </c>
      <c r="D80" s="92" t="s">
        <v>171</v>
      </c>
      <c r="E80" s="93">
        <f>+H78/H79</f>
        <v>100000</v>
      </c>
      <c r="F80" s="89"/>
      <c r="G80" s="89"/>
      <c r="H80" s="50"/>
      <c r="I80" s="47"/>
      <c r="J80" s="65"/>
    </row>
    <row r="81" spans="3:10">
      <c r="C81" s="66" t="s">
        <v>197</v>
      </c>
      <c r="D81" s="94"/>
      <c r="E81" s="95">
        <f>+E80*E77</f>
        <v>80000</v>
      </c>
      <c r="F81" s="94"/>
      <c r="G81" s="96">
        <f>+E80*G77</f>
        <v>20000</v>
      </c>
      <c r="H81" s="97"/>
      <c r="I81" s="67"/>
      <c r="J81" s="68"/>
    </row>
    <row r="83" spans="2:2">
      <c r="B83" s="102" t="s">
        <v>205</v>
      </c>
    </row>
    <row r="85" ht="14.45" customHeight="1" spans="2:10">
      <c r="B85" s="112" t="s">
        <v>206</v>
      </c>
      <c r="C85" s="112"/>
      <c r="D85" s="112"/>
      <c r="E85" s="112"/>
      <c r="F85" s="112"/>
      <c r="G85" s="112"/>
      <c r="H85" s="112"/>
      <c r="I85" s="112"/>
      <c r="J85" s="112"/>
    </row>
    <row r="86" spans="2:10">
      <c r="B86" s="112"/>
      <c r="C86" s="112"/>
      <c r="D86" s="112"/>
      <c r="E86" s="112"/>
      <c r="F86" s="112"/>
      <c r="G86" s="112"/>
      <c r="H86" s="112"/>
      <c r="I86" s="112"/>
      <c r="J86" s="112"/>
    </row>
    <row r="87" spans="2:10">
      <c r="B87" s="112"/>
      <c r="C87" s="112"/>
      <c r="D87" s="112"/>
      <c r="E87" s="112"/>
      <c r="F87" s="112"/>
      <c r="G87" s="112"/>
      <c r="H87" s="112"/>
      <c r="I87" s="112"/>
      <c r="J87" s="112"/>
    </row>
    <row r="88" spans="2:10">
      <c r="B88" s="112"/>
      <c r="C88" s="112"/>
      <c r="D88" s="112"/>
      <c r="E88" s="112"/>
      <c r="F88" s="112"/>
      <c r="G88" s="112"/>
      <c r="H88" s="112"/>
      <c r="I88" s="112"/>
      <c r="J88" s="112"/>
    </row>
    <row r="89" spans="2:10">
      <c r="B89" s="112"/>
      <c r="C89" s="112"/>
      <c r="D89" s="112"/>
      <c r="E89" s="112"/>
      <c r="F89" s="112"/>
      <c r="G89" s="112"/>
      <c r="H89" s="112"/>
      <c r="I89" s="112"/>
      <c r="J89" s="112"/>
    </row>
    <row r="90" spans="2:10">
      <c r="B90" s="112"/>
      <c r="C90" s="112"/>
      <c r="D90" s="112"/>
      <c r="E90" s="112"/>
      <c r="F90" s="112"/>
      <c r="G90" s="112"/>
      <c r="H90" s="112"/>
      <c r="I90" s="112"/>
      <c r="J90" s="112"/>
    </row>
    <row r="91" spans="2:10">
      <c r="B91" s="112"/>
      <c r="C91" s="112"/>
      <c r="D91" s="112"/>
      <c r="E91" s="112"/>
      <c r="F91" s="112"/>
      <c r="G91" s="112"/>
      <c r="H91" s="112"/>
      <c r="I91" s="112"/>
      <c r="J91" s="112"/>
    </row>
    <row r="92" spans="2:10">
      <c r="B92" s="112"/>
      <c r="C92" s="112"/>
      <c r="D92" s="112"/>
      <c r="E92" s="112"/>
      <c r="F92" s="112"/>
      <c r="G92" s="112"/>
      <c r="H92" s="112"/>
      <c r="I92" s="112"/>
      <c r="J92" s="112"/>
    </row>
    <row r="93" spans="2:10">
      <c r="B93" s="112"/>
      <c r="C93" s="112"/>
      <c r="D93" s="112"/>
      <c r="E93" s="112"/>
      <c r="F93" s="112"/>
      <c r="G93" s="112"/>
      <c r="H93" s="112"/>
      <c r="I93" s="112"/>
      <c r="J93" s="112"/>
    </row>
    <row r="94" spans="2:10">
      <c r="B94" s="112"/>
      <c r="C94" s="112"/>
      <c r="D94" s="112"/>
      <c r="E94" s="112"/>
      <c r="F94" s="112"/>
      <c r="G94" s="112"/>
      <c r="H94" s="112"/>
      <c r="I94" s="112"/>
      <c r="J94" s="112"/>
    </row>
    <row r="95" spans="2:10">
      <c r="B95" s="112"/>
      <c r="C95" s="112"/>
      <c r="D95" s="112"/>
      <c r="E95" s="112"/>
      <c r="F95" s="112"/>
      <c r="G95" s="112"/>
      <c r="H95" s="112"/>
      <c r="I95" s="112"/>
      <c r="J95" s="112"/>
    </row>
    <row r="96" spans="2:10">
      <c r="B96" s="112"/>
      <c r="C96" s="112"/>
      <c r="D96" s="112"/>
      <c r="E96" s="112"/>
      <c r="F96" s="112"/>
      <c r="G96" s="112"/>
      <c r="H96" s="112"/>
      <c r="I96" s="112"/>
      <c r="J96" s="112"/>
    </row>
    <row r="97" spans="2:10">
      <c r="B97" s="112"/>
      <c r="C97" s="112"/>
      <c r="D97" s="112"/>
      <c r="E97" s="112"/>
      <c r="F97" s="112"/>
      <c r="G97" s="112"/>
      <c r="H97" s="112"/>
      <c r="I97" s="112"/>
      <c r="J97" s="112"/>
    </row>
    <row r="98" spans="2:10">
      <c r="B98" s="112"/>
      <c r="C98" s="112"/>
      <c r="D98" s="112"/>
      <c r="E98" s="112"/>
      <c r="F98" s="112"/>
      <c r="G98" s="112"/>
      <c r="H98" s="112"/>
      <c r="I98" s="112"/>
      <c r="J98" s="112"/>
    </row>
  </sheetData>
  <mergeCells count="21">
    <mergeCell ref="B9:C9"/>
    <mergeCell ref="B15:N15"/>
    <mergeCell ref="C19:G19"/>
    <mergeCell ref="C31:G31"/>
    <mergeCell ref="J31:O31"/>
    <mergeCell ref="C45:J45"/>
    <mergeCell ref="C47:E47"/>
    <mergeCell ref="G47:J47"/>
    <mergeCell ref="H50:J50"/>
    <mergeCell ref="H51:J51"/>
    <mergeCell ref="C65:E65"/>
    <mergeCell ref="G65:J65"/>
    <mergeCell ref="H68:J68"/>
    <mergeCell ref="H69:J69"/>
    <mergeCell ref="C75:E75"/>
    <mergeCell ref="G75:J75"/>
    <mergeCell ref="H78:J78"/>
    <mergeCell ref="H79:J79"/>
    <mergeCell ref="D36:D37"/>
    <mergeCell ref="B85:J98"/>
    <mergeCell ref="B55:J56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H151"/>
  <sheetViews>
    <sheetView workbookViewId="0">
      <selection activeCell="G7" sqref="G7"/>
    </sheetView>
  </sheetViews>
  <sheetFormatPr defaultColWidth="11" defaultRowHeight="15" outlineLevelCol="7"/>
  <cols>
    <col min="1" max="1" width="11" style="1"/>
    <col min="2" max="2" width="51.25" style="1" customWidth="1"/>
    <col min="3" max="3" width="11.875" style="2" customWidth="1"/>
    <col min="4" max="4" width="16.25" style="1" customWidth="1"/>
    <col min="5" max="16384" width="11" style="1"/>
  </cols>
  <sheetData>
    <row r="3" ht="15.75" spans="2:3">
      <c r="B3" s="3" t="s">
        <v>74</v>
      </c>
      <c r="C3" s="3"/>
    </row>
    <row r="4" ht="15.75" spans="2:3">
      <c r="B4" s="4" t="s">
        <v>207</v>
      </c>
      <c r="C4" s="5"/>
    </row>
    <row r="5" ht="15.75" spans="2:3">
      <c r="B5" s="6" t="s">
        <v>208</v>
      </c>
      <c r="C5" s="7">
        <v>3.25</v>
      </c>
    </row>
    <row r="6" ht="15.75" spans="2:3">
      <c r="B6" s="6" t="s">
        <v>209</v>
      </c>
      <c r="C6" s="7">
        <v>8</v>
      </c>
    </row>
    <row r="7" ht="47.25" spans="2:3">
      <c r="B7" s="8" t="s">
        <v>210</v>
      </c>
      <c r="C7" s="7">
        <v>2.5</v>
      </c>
    </row>
    <row r="8" ht="15.75" spans="2:3">
      <c r="B8" s="9" t="s">
        <v>211</v>
      </c>
      <c r="C8" s="7">
        <f>+C5+C6+C7</f>
        <v>13.75</v>
      </c>
    </row>
    <row r="9" ht="15.75" spans="2:3">
      <c r="B9" s="4" t="s">
        <v>83</v>
      </c>
      <c r="C9" s="7"/>
    </row>
    <row r="10" ht="15.75" spans="2:3">
      <c r="B10" s="6" t="s">
        <v>212</v>
      </c>
      <c r="C10" s="7">
        <v>25000</v>
      </c>
    </row>
    <row r="11" ht="15.75" spans="2:3">
      <c r="B11" s="6" t="s">
        <v>213</v>
      </c>
      <c r="C11" s="7">
        <v>110000</v>
      </c>
    </row>
    <row r="12" ht="15.75" spans="2:3">
      <c r="B12" s="9" t="s">
        <v>214</v>
      </c>
      <c r="C12" s="7">
        <f>+C10+C11</f>
        <v>135000</v>
      </c>
    </row>
    <row r="13" ht="15.75" spans="2:3">
      <c r="B13" s="6" t="s">
        <v>215</v>
      </c>
      <c r="C13" s="7">
        <v>25</v>
      </c>
    </row>
    <row r="14" ht="15.75" spans="2:3">
      <c r="B14" s="6" t="s">
        <v>216</v>
      </c>
      <c r="C14" s="7">
        <v>500000</v>
      </c>
    </row>
    <row r="15" ht="15.75" spans="2:3">
      <c r="B15" s="6" t="s">
        <v>217</v>
      </c>
      <c r="C15" s="10">
        <v>0.4</v>
      </c>
    </row>
    <row r="17" ht="15.75" spans="2:2">
      <c r="B17" s="11" t="s">
        <v>218</v>
      </c>
    </row>
    <row r="19" ht="15.75" spans="2:3">
      <c r="B19" s="12" t="s">
        <v>88</v>
      </c>
      <c r="C19" s="12"/>
    </row>
    <row r="20" ht="15.75" spans="2:3">
      <c r="B20" s="13" t="s">
        <v>89</v>
      </c>
      <c r="C20" s="14">
        <f>+C14</f>
        <v>500000</v>
      </c>
    </row>
    <row r="21" ht="15.75" spans="2:3">
      <c r="B21" s="13" t="s">
        <v>90</v>
      </c>
      <c r="C21" s="14">
        <f>+C8*20000</f>
        <v>275000</v>
      </c>
    </row>
    <row r="22" ht="15.75" spans="2:3">
      <c r="B22" s="15" t="s">
        <v>91</v>
      </c>
      <c r="C22" s="16">
        <f>+C20-C21</f>
        <v>225000</v>
      </c>
    </row>
    <row r="23" ht="15.75" spans="2:3">
      <c r="B23" s="13" t="s">
        <v>92</v>
      </c>
      <c r="C23" s="14">
        <f>+C12</f>
        <v>135000</v>
      </c>
    </row>
    <row r="24" ht="15.75" spans="2:3">
      <c r="B24" s="15" t="s">
        <v>116</v>
      </c>
      <c r="C24" s="17">
        <f>+C22-C23</f>
        <v>90000</v>
      </c>
    </row>
    <row r="25" ht="15.75" spans="2:3">
      <c r="B25" s="13" t="s">
        <v>117</v>
      </c>
      <c r="C25" s="13">
        <v>0</v>
      </c>
    </row>
    <row r="26" ht="15.75" spans="2:3">
      <c r="B26" s="15" t="s">
        <v>118</v>
      </c>
      <c r="C26" s="16">
        <f>+C24-C25</f>
        <v>90000</v>
      </c>
    </row>
    <row r="27" ht="15.75" spans="2:3">
      <c r="B27" s="13" t="s">
        <v>219</v>
      </c>
      <c r="C27" s="18">
        <f>+C26*40%</f>
        <v>36000</v>
      </c>
    </row>
    <row r="28" ht="15.75" spans="2:3">
      <c r="B28" s="19" t="s">
        <v>121</v>
      </c>
      <c r="C28" s="20">
        <f>+C26-C27</f>
        <v>54000</v>
      </c>
    </row>
    <row r="30" ht="15.75" spans="2:2">
      <c r="B30" s="11" t="s">
        <v>220</v>
      </c>
    </row>
    <row r="32" ht="15.75" spans="2:5">
      <c r="B32" s="21" t="s">
        <v>82</v>
      </c>
      <c r="C32" s="22" t="s">
        <v>83</v>
      </c>
      <c r="D32" s="22"/>
      <c r="E32" s="22"/>
    </row>
    <row r="33" ht="15.75" spans="2:5">
      <c r="B33" s="21"/>
      <c r="C33" s="23" t="s">
        <v>84</v>
      </c>
      <c r="D33" s="23"/>
      <c r="E33" s="23"/>
    </row>
    <row r="34" ht="15.75" spans="2:4">
      <c r="B34" s="13"/>
      <c r="C34" s="13"/>
      <c r="D34" s="13"/>
    </row>
    <row r="35" ht="15.75" spans="2:4">
      <c r="B35" s="21" t="s">
        <v>82</v>
      </c>
      <c r="C35" s="24">
        <f>+C12</f>
        <v>135000</v>
      </c>
      <c r="D35" s="13"/>
    </row>
    <row r="36" ht="15.75" spans="2:4">
      <c r="B36" s="21"/>
      <c r="C36" s="25">
        <f>+C13-C8</f>
        <v>11.25</v>
      </c>
      <c r="D36" s="13"/>
    </row>
    <row r="37" ht="15.75" spans="2:4">
      <c r="B37" s="15"/>
      <c r="C37" s="13"/>
      <c r="D37" s="13"/>
    </row>
    <row r="38" ht="15.75" spans="2:4">
      <c r="B38" s="26" t="s">
        <v>82</v>
      </c>
      <c r="C38" s="27">
        <f>+C35/C36</f>
        <v>12000</v>
      </c>
      <c r="D38" s="19" t="s">
        <v>221</v>
      </c>
    </row>
    <row r="40" ht="84.75" customHeight="1" spans="2:5">
      <c r="B40" s="28" t="s">
        <v>222</v>
      </c>
      <c r="C40" s="28"/>
      <c r="D40" s="28"/>
      <c r="E40" s="28"/>
    </row>
    <row r="42" ht="15.75" spans="2:3">
      <c r="B42" s="3" t="s">
        <v>74</v>
      </c>
      <c r="C42" s="3"/>
    </row>
    <row r="43" ht="15.75" spans="2:3">
      <c r="B43" s="4" t="s">
        <v>207</v>
      </c>
      <c r="C43" s="5"/>
    </row>
    <row r="44" ht="15.75" spans="2:3">
      <c r="B44" s="6" t="s">
        <v>208</v>
      </c>
      <c r="C44" s="7">
        <v>3.25</v>
      </c>
    </row>
    <row r="45" ht="15.75" spans="2:3">
      <c r="B45" s="6" t="s">
        <v>209</v>
      </c>
      <c r="C45" s="7">
        <v>8</v>
      </c>
    </row>
    <row r="46" ht="47.25" spans="2:3">
      <c r="B46" s="8" t="s">
        <v>210</v>
      </c>
      <c r="C46" s="7">
        <v>2.5</v>
      </c>
    </row>
    <row r="47" ht="15.75" spans="2:3">
      <c r="B47" s="9" t="s">
        <v>211</v>
      </c>
      <c r="C47" s="7">
        <f>+C44+C45+C46</f>
        <v>13.75</v>
      </c>
    </row>
    <row r="48" ht="15.75" spans="2:3">
      <c r="B48" s="4" t="s">
        <v>83</v>
      </c>
      <c r="C48" s="7"/>
    </row>
    <row r="49" ht="15.75" spans="2:3">
      <c r="B49" s="6" t="s">
        <v>212</v>
      </c>
      <c r="C49" s="7">
        <v>25000</v>
      </c>
    </row>
    <row r="50" ht="15.75" spans="2:3">
      <c r="B50" s="6" t="s">
        <v>213</v>
      </c>
      <c r="C50" s="7">
        <f>110000+11250</f>
        <v>121250</v>
      </c>
    </row>
    <row r="51" ht="15.75" spans="2:3">
      <c r="B51" s="9" t="s">
        <v>214</v>
      </c>
      <c r="C51" s="7">
        <f>+C49+C50</f>
        <v>146250</v>
      </c>
    </row>
    <row r="52" ht="15.75" spans="2:3">
      <c r="B52" s="6" t="s">
        <v>215</v>
      </c>
      <c r="C52" s="7">
        <v>25</v>
      </c>
    </row>
    <row r="53" ht="15.75" spans="2:3">
      <c r="B53" s="6" t="s">
        <v>223</v>
      </c>
      <c r="C53" s="7">
        <v>550000</v>
      </c>
    </row>
    <row r="54" ht="15.75" spans="2:3">
      <c r="B54" s="6" t="s">
        <v>217</v>
      </c>
      <c r="C54" s="10">
        <v>0.4</v>
      </c>
    </row>
    <row r="57" ht="15.75" spans="2:3">
      <c r="B57" s="12" t="s">
        <v>88</v>
      </c>
      <c r="C57" s="12"/>
    </row>
    <row r="58" ht="15.75" spans="2:3">
      <c r="B58" s="13" t="s">
        <v>89</v>
      </c>
      <c r="C58" s="14">
        <f>+C53</f>
        <v>550000</v>
      </c>
    </row>
    <row r="59" ht="15.75" spans="2:3">
      <c r="B59" s="13" t="s">
        <v>90</v>
      </c>
      <c r="C59" s="14">
        <f>+C47*22000</f>
        <v>302500</v>
      </c>
    </row>
    <row r="60" ht="15.75" spans="2:3">
      <c r="B60" s="15" t="s">
        <v>91</v>
      </c>
      <c r="C60" s="16">
        <f>+C58-C59</f>
        <v>247500</v>
      </c>
    </row>
    <row r="61" ht="15.75" spans="2:3">
      <c r="B61" s="13" t="s">
        <v>92</v>
      </c>
      <c r="C61" s="14">
        <f>+C51</f>
        <v>146250</v>
      </c>
    </row>
    <row r="62" ht="15.75" spans="2:3">
      <c r="B62" s="15" t="s">
        <v>116</v>
      </c>
      <c r="C62" s="17">
        <f>+C60-C61</f>
        <v>101250</v>
      </c>
    </row>
    <row r="63" ht="15.75" spans="2:3">
      <c r="B63" s="13" t="s">
        <v>117</v>
      </c>
      <c r="C63" s="13">
        <v>0</v>
      </c>
    </row>
    <row r="64" ht="15.75" spans="2:3">
      <c r="B64" s="15" t="s">
        <v>118</v>
      </c>
      <c r="C64" s="16">
        <f>+C62-C63</f>
        <v>101250</v>
      </c>
    </row>
    <row r="65" ht="15.75" spans="2:3">
      <c r="B65" s="13" t="s">
        <v>219</v>
      </c>
      <c r="C65" s="18">
        <f>+C64*40%</f>
        <v>40500</v>
      </c>
    </row>
    <row r="66" ht="15.75" spans="2:3">
      <c r="B66" s="19" t="s">
        <v>121</v>
      </c>
      <c r="C66" s="20">
        <f>+C64-C65</f>
        <v>60750</v>
      </c>
    </row>
    <row r="68" ht="31.5" customHeight="1" spans="2:5">
      <c r="B68" s="28" t="s">
        <v>224</v>
      </c>
      <c r="C68" s="28"/>
      <c r="D68" s="28"/>
      <c r="E68" s="28"/>
    </row>
    <row r="70" ht="15.75" spans="2:5">
      <c r="B70" s="21" t="s">
        <v>82</v>
      </c>
      <c r="C70" s="22" t="s">
        <v>83</v>
      </c>
      <c r="D70" s="22"/>
      <c r="E70" s="22"/>
    </row>
    <row r="71" ht="15.75" spans="2:5">
      <c r="B71" s="21"/>
      <c r="C71" s="23" t="s">
        <v>84</v>
      </c>
      <c r="D71" s="23"/>
      <c r="E71" s="23"/>
    </row>
    <row r="72" ht="15.75" spans="2:4">
      <c r="B72" s="13"/>
      <c r="C72" s="13"/>
      <c r="D72" s="13"/>
    </row>
    <row r="73" ht="15.75" spans="2:4">
      <c r="B73" s="21" t="s">
        <v>82</v>
      </c>
      <c r="C73" s="24">
        <f>+C61</f>
        <v>146250</v>
      </c>
      <c r="D73" s="13"/>
    </row>
    <row r="74" ht="15.75" spans="2:4">
      <c r="B74" s="21"/>
      <c r="C74" s="25">
        <f>+C52-C47</f>
        <v>11.25</v>
      </c>
      <c r="D74" s="13"/>
    </row>
    <row r="75" ht="15.75" spans="2:4">
      <c r="B75" s="15"/>
      <c r="C75" s="13"/>
      <c r="D75" s="13"/>
    </row>
    <row r="76" ht="15.75" spans="2:4">
      <c r="B76" s="26" t="s">
        <v>82</v>
      </c>
      <c r="C76" s="14">
        <f>+C73/C74</f>
        <v>13000</v>
      </c>
      <c r="D76" s="13" t="s">
        <v>221</v>
      </c>
    </row>
    <row r="79" ht="15.75" spans="2:3">
      <c r="B79" s="26" t="s">
        <v>86</v>
      </c>
      <c r="C79" s="29" t="s">
        <v>87</v>
      </c>
    </row>
    <row r="80" ht="15.75" spans="2:3">
      <c r="B80" s="26" t="s">
        <v>86</v>
      </c>
      <c r="C80" s="30">
        <f>+C76*C52</f>
        <v>325000</v>
      </c>
    </row>
    <row r="83" ht="33.75" customHeight="1" spans="2:5">
      <c r="B83" s="28" t="s">
        <v>225</v>
      </c>
      <c r="C83" s="28"/>
      <c r="D83" s="28"/>
      <c r="E83" s="28"/>
    </row>
    <row r="85" ht="15.75" spans="2:7">
      <c r="B85" s="31" t="s">
        <v>104</v>
      </c>
      <c r="C85" s="13" t="s">
        <v>105</v>
      </c>
      <c r="D85" s="13"/>
      <c r="E85" s="13"/>
      <c r="F85" s="13"/>
      <c r="G85" s="13"/>
    </row>
    <row r="86" ht="15.75" spans="2:7">
      <c r="B86" s="31"/>
      <c r="C86" s="13"/>
      <c r="D86" s="13"/>
      <c r="E86" s="13" t="s">
        <v>106</v>
      </c>
      <c r="F86" s="13"/>
      <c r="G86" s="13"/>
    </row>
    <row r="87" ht="15.75" spans="2:8">
      <c r="B87" s="31"/>
      <c r="C87" s="32" t="s">
        <v>107</v>
      </c>
      <c r="D87" s="32"/>
      <c r="E87" s="32"/>
      <c r="F87" s="32"/>
      <c r="G87" s="32"/>
      <c r="H87" s="32"/>
    </row>
    <row r="88" ht="15.75" spans="2:7">
      <c r="B88" s="13"/>
      <c r="C88" s="13"/>
      <c r="D88" s="13"/>
      <c r="E88" s="13"/>
      <c r="F88" s="13"/>
      <c r="G88" s="13"/>
    </row>
    <row r="89" ht="15.75" spans="2:7">
      <c r="B89" s="3" t="s">
        <v>108</v>
      </c>
      <c r="C89" s="3"/>
      <c r="D89" s="13"/>
      <c r="E89" s="13"/>
      <c r="F89" s="13"/>
      <c r="G89" s="13"/>
    </row>
    <row r="90" ht="15.75" spans="2:7">
      <c r="B90" s="6" t="s">
        <v>80</v>
      </c>
      <c r="C90" s="33">
        <f>+C13</f>
        <v>25</v>
      </c>
      <c r="D90" s="13"/>
      <c r="E90" s="13"/>
      <c r="F90" s="13"/>
      <c r="G90" s="13"/>
    </row>
    <row r="91" ht="15.75" spans="2:7">
      <c r="B91" s="6" t="s">
        <v>76</v>
      </c>
      <c r="C91" s="33">
        <f>+C47</f>
        <v>13.75</v>
      </c>
      <c r="D91" s="13"/>
      <c r="E91" s="13"/>
      <c r="F91" s="13"/>
      <c r="G91" s="13"/>
    </row>
    <row r="92" ht="15.75" spans="2:7">
      <c r="B92" s="6" t="s">
        <v>97</v>
      </c>
      <c r="C92" s="33">
        <f>+C51</f>
        <v>146250</v>
      </c>
      <c r="D92" s="13"/>
      <c r="E92" s="13"/>
      <c r="F92" s="13"/>
      <c r="G92" s="13"/>
    </row>
    <row r="93" ht="15.75" spans="2:7">
      <c r="B93" s="6" t="s">
        <v>109</v>
      </c>
      <c r="C93" s="33">
        <v>0</v>
      </c>
      <c r="D93" s="13"/>
      <c r="E93" s="13"/>
      <c r="F93" s="13"/>
      <c r="G93" s="13"/>
    </row>
    <row r="94" ht="15.75" spans="2:7">
      <c r="B94" s="6" t="s">
        <v>110</v>
      </c>
      <c r="C94" s="33">
        <v>54000</v>
      </c>
      <c r="D94" s="13"/>
      <c r="E94" s="13"/>
      <c r="F94" s="13"/>
      <c r="G94" s="13"/>
    </row>
    <row r="95" ht="15.75" spans="2:7">
      <c r="B95" s="6" t="s">
        <v>111</v>
      </c>
      <c r="C95" s="34">
        <f>15%+25%</f>
        <v>0.4</v>
      </c>
      <c r="D95" s="13"/>
      <c r="E95" s="13"/>
      <c r="F95" s="13"/>
      <c r="G95" s="13"/>
    </row>
    <row r="96" ht="15.75" spans="2:7">
      <c r="B96" s="13"/>
      <c r="C96" s="13"/>
      <c r="D96" s="13"/>
      <c r="E96" s="13"/>
      <c r="F96" s="13"/>
      <c r="G96" s="13"/>
    </row>
    <row r="97" ht="15.75" spans="2:7">
      <c r="B97" s="35" t="s">
        <v>104</v>
      </c>
      <c r="C97" s="23" t="s">
        <v>226</v>
      </c>
      <c r="D97" s="23"/>
      <c r="E97" s="13"/>
      <c r="F97" s="13"/>
      <c r="G97" s="13"/>
    </row>
    <row r="98" ht="15.75" spans="2:7">
      <c r="B98" s="35"/>
      <c r="C98" s="22" t="s">
        <v>227</v>
      </c>
      <c r="D98" s="22"/>
      <c r="E98" s="13"/>
      <c r="F98" s="13"/>
      <c r="G98" s="13"/>
    </row>
    <row r="99" ht="15.75" spans="2:7">
      <c r="B99" s="35"/>
      <c r="C99" s="32" t="s">
        <v>228</v>
      </c>
      <c r="D99" s="32"/>
      <c r="E99" s="13"/>
      <c r="F99" s="13"/>
      <c r="G99" s="13"/>
    </row>
    <row r="100" ht="15.75" spans="2:7">
      <c r="B100" s="13"/>
      <c r="C100" s="13"/>
      <c r="D100" s="13"/>
      <c r="E100" s="13"/>
      <c r="F100" s="13"/>
      <c r="G100" s="13"/>
    </row>
    <row r="101" ht="15.75" spans="2:7">
      <c r="B101" s="35" t="s">
        <v>104</v>
      </c>
      <c r="C101" s="36">
        <f>+((C92+C93)+(C94/(1-0.4)))</f>
        <v>236250</v>
      </c>
      <c r="D101" s="36"/>
      <c r="E101" s="13"/>
      <c r="F101" s="13"/>
      <c r="G101" s="13"/>
    </row>
    <row r="102" ht="15.75" spans="2:7">
      <c r="B102" s="35"/>
      <c r="C102" s="37">
        <f>+C90-C91</f>
        <v>11.25</v>
      </c>
      <c r="D102" s="37"/>
      <c r="E102" s="13"/>
      <c r="F102" s="13"/>
      <c r="G102" s="13"/>
    </row>
    <row r="103" ht="15.75" spans="2:7">
      <c r="B103" s="38"/>
      <c r="C103" s="13"/>
      <c r="D103" s="13"/>
      <c r="E103" s="13"/>
      <c r="F103" s="13"/>
      <c r="G103" s="13"/>
    </row>
    <row r="104" ht="15.75" customHeight="1" spans="2:7">
      <c r="B104" s="35" t="s">
        <v>104</v>
      </c>
      <c r="C104" s="39">
        <f>+C101/C102</f>
        <v>21000</v>
      </c>
      <c r="D104" s="40" t="s">
        <v>221</v>
      </c>
      <c r="E104" s="41"/>
      <c r="F104" s="13"/>
      <c r="G104" s="13"/>
    </row>
    <row r="105" ht="15.75" spans="2:7">
      <c r="B105" s="13"/>
      <c r="C105" s="13"/>
      <c r="D105" s="13"/>
      <c r="E105" s="13"/>
      <c r="F105" s="13"/>
      <c r="G105" s="13"/>
    </row>
    <row r="106" ht="15.75" spans="2:7">
      <c r="B106" s="13"/>
      <c r="C106" s="13"/>
      <c r="D106" s="13"/>
      <c r="E106" s="13"/>
      <c r="F106" s="13"/>
      <c r="G106" s="13"/>
    </row>
    <row r="107" ht="15.75" spans="2:7">
      <c r="B107" s="12" t="s">
        <v>88</v>
      </c>
      <c r="C107" s="12"/>
      <c r="D107" s="13"/>
      <c r="E107" s="13"/>
      <c r="F107" s="13"/>
      <c r="G107" s="13"/>
    </row>
    <row r="108" ht="15.75" spans="2:7">
      <c r="B108" s="13" t="s">
        <v>89</v>
      </c>
      <c r="C108" s="14">
        <f>+C104*C90</f>
        <v>525000</v>
      </c>
      <c r="D108" s="13"/>
      <c r="E108" s="13"/>
      <c r="F108" s="13"/>
      <c r="G108" s="13"/>
    </row>
    <row r="109" ht="15.75" spans="2:7">
      <c r="B109" s="13" t="s">
        <v>90</v>
      </c>
      <c r="C109" s="14">
        <f>+C104*C91</f>
        <v>288750</v>
      </c>
      <c r="D109" s="13"/>
      <c r="E109" s="13"/>
      <c r="F109" s="13"/>
      <c r="G109" s="13"/>
    </row>
    <row r="110" ht="15.75" spans="2:7">
      <c r="B110" s="15" t="s">
        <v>91</v>
      </c>
      <c r="C110" s="16">
        <f>+C108-C109</f>
        <v>236250</v>
      </c>
      <c r="D110" s="13"/>
      <c r="E110" s="13"/>
      <c r="F110" s="13"/>
      <c r="G110" s="13"/>
    </row>
    <row r="111" ht="15.75" spans="2:7">
      <c r="B111" s="13" t="s">
        <v>92</v>
      </c>
      <c r="C111" s="14">
        <f>+C92</f>
        <v>146250</v>
      </c>
      <c r="D111" s="13"/>
      <c r="E111" s="13"/>
      <c r="F111" s="13"/>
      <c r="G111" s="13"/>
    </row>
    <row r="112" ht="15.75" spans="2:7">
      <c r="B112" s="15" t="s">
        <v>116</v>
      </c>
      <c r="C112" s="17">
        <f>+C110-C111</f>
        <v>90000</v>
      </c>
      <c r="D112" s="13"/>
      <c r="E112" s="13"/>
      <c r="F112" s="13"/>
      <c r="G112" s="13"/>
    </row>
    <row r="113" ht="15.75" spans="2:7">
      <c r="B113" s="13" t="s">
        <v>117</v>
      </c>
      <c r="C113" s="13">
        <v>0</v>
      </c>
      <c r="D113" s="13"/>
      <c r="E113" s="13"/>
      <c r="F113" s="13"/>
      <c r="G113" s="13"/>
    </row>
    <row r="114" ht="15.75" spans="2:7">
      <c r="B114" s="15" t="s">
        <v>118</v>
      </c>
      <c r="C114" s="16">
        <f>+C112-C113</f>
        <v>90000</v>
      </c>
      <c r="D114" s="13"/>
      <c r="E114" s="13"/>
      <c r="F114" s="13"/>
      <c r="G114" s="13"/>
    </row>
    <row r="115" ht="15.75" spans="2:7">
      <c r="B115" s="13" t="s">
        <v>119</v>
      </c>
      <c r="C115" s="18">
        <f>+C114*15%</f>
        <v>13500</v>
      </c>
      <c r="D115" s="13"/>
      <c r="E115" s="13"/>
      <c r="F115" s="13"/>
      <c r="G115" s="13"/>
    </row>
    <row r="116" ht="15.75" spans="2:7">
      <c r="B116" s="13" t="s">
        <v>120</v>
      </c>
      <c r="C116" s="18">
        <f>+C114*25%</f>
        <v>22500</v>
      </c>
      <c r="D116" s="13"/>
      <c r="E116" s="13"/>
      <c r="F116" s="13"/>
      <c r="G116" s="13"/>
    </row>
    <row r="117" ht="15.75" spans="2:7">
      <c r="B117" s="19" t="s">
        <v>121</v>
      </c>
      <c r="C117" s="20">
        <f>+C114-C115-C116</f>
        <v>54000</v>
      </c>
      <c r="D117" s="13"/>
      <c r="E117" s="13"/>
      <c r="F117" s="13"/>
      <c r="G117" s="13"/>
    </row>
    <row r="119" ht="51.75" customHeight="1" spans="2:5">
      <c r="B119" s="42" t="s">
        <v>229</v>
      </c>
      <c r="C119" s="42"/>
      <c r="D119" s="42"/>
      <c r="E119" s="42"/>
    </row>
    <row r="121" ht="34.5" customHeight="1" spans="2:5">
      <c r="B121" s="28" t="s">
        <v>230</v>
      </c>
      <c r="C121" s="28"/>
      <c r="D121" s="28"/>
      <c r="E121" s="28"/>
    </row>
    <row r="123" ht="15.75" spans="2:3">
      <c r="B123" s="3" t="s">
        <v>108</v>
      </c>
      <c r="C123" s="3"/>
    </row>
    <row r="124" ht="15.75" spans="2:3">
      <c r="B124" s="6" t="s">
        <v>231</v>
      </c>
      <c r="C124" s="43">
        <v>22000</v>
      </c>
    </row>
    <row r="125" ht="15.75" spans="2:3">
      <c r="B125" s="6" t="s">
        <v>80</v>
      </c>
      <c r="C125" s="33">
        <v>25</v>
      </c>
    </row>
    <row r="126" ht="15.75" spans="2:3">
      <c r="B126" s="6" t="s">
        <v>76</v>
      </c>
      <c r="C126" s="33">
        <f>+C8</f>
        <v>13.75</v>
      </c>
    </row>
    <row r="127" ht="15.75" spans="2:3">
      <c r="B127" s="6" t="s">
        <v>97</v>
      </c>
      <c r="C127" s="33">
        <f>+C12</f>
        <v>135000</v>
      </c>
    </row>
    <row r="128" ht="15.75" spans="2:3">
      <c r="B128" s="6" t="s">
        <v>110</v>
      </c>
      <c r="C128" s="33">
        <v>60000</v>
      </c>
    </row>
    <row r="129" ht="15.75" spans="2:3">
      <c r="B129" s="6" t="s">
        <v>111</v>
      </c>
      <c r="C129" s="34">
        <f>15%+25%</f>
        <v>0.4</v>
      </c>
    </row>
    <row r="131" ht="15.75" spans="2:3">
      <c r="B131" s="44" t="s">
        <v>232</v>
      </c>
      <c r="C131" s="18" t="s">
        <v>233</v>
      </c>
    </row>
    <row r="132" ht="15.75" spans="2:3">
      <c r="B132" s="44" t="s">
        <v>232</v>
      </c>
      <c r="C132" s="18" t="s">
        <v>234</v>
      </c>
    </row>
    <row r="133" ht="15.75" spans="2:3">
      <c r="B133" s="26" t="s">
        <v>235</v>
      </c>
      <c r="C133" s="18">
        <f>+(100000*(1-0.4))</f>
        <v>60000</v>
      </c>
    </row>
    <row r="134" ht="15.75" spans="2:2">
      <c r="B134" s="13" t="s">
        <v>236</v>
      </c>
    </row>
    <row r="135" ht="15.75" spans="2:3">
      <c r="B135" s="44" t="s">
        <v>237</v>
      </c>
      <c r="C135" s="18" t="s">
        <v>238</v>
      </c>
    </row>
    <row r="136" ht="15.75" spans="2:3">
      <c r="B136" s="44" t="s">
        <v>237</v>
      </c>
      <c r="C136" s="18" t="s">
        <v>228</v>
      </c>
    </row>
    <row r="137" ht="15.75" spans="2:3">
      <c r="B137" s="44" t="s">
        <v>237</v>
      </c>
      <c r="C137" s="18">
        <f>+C125-C126</f>
        <v>11.25</v>
      </c>
    </row>
    <row r="139" ht="15.75" spans="2:3">
      <c r="B139" s="44" t="s">
        <v>239</v>
      </c>
      <c r="C139" s="18" t="s">
        <v>240</v>
      </c>
    </row>
    <row r="140" ht="15.75" spans="2:3">
      <c r="B140" s="44" t="s">
        <v>237</v>
      </c>
      <c r="C140" s="18" t="s">
        <v>241</v>
      </c>
    </row>
    <row r="141" ht="15.75" spans="2:3">
      <c r="B141" s="44" t="s">
        <v>237</v>
      </c>
      <c r="C141" s="18">
        <f>+C137*C124</f>
        <v>247500</v>
      </c>
    </row>
    <row r="143" ht="15.75" spans="2:3">
      <c r="B143" s="26" t="s">
        <v>242</v>
      </c>
      <c r="C143" s="18" t="s">
        <v>243</v>
      </c>
    </row>
    <row r="144" ht="15.75" spans="2:3">
      <c r="B144" s="26" t="s">
        <v>242</v>
      </c>
      <c r="C144" s="18" t="s">
        <v>244</v>
      </c>
    </row>
    <row r="145" ht="15.75" spans="2:3">
      <c r="B145" s="26" t="s">
        <v>242</v>
      </c>
      <c r="C145" s="18">
        <f>+C141-100000</f>
        <v>147500</v>
      </c>
    </row>
    <row r="147" ht="51.75" customHeight="1" spans="2:5">
      <c r="B147" s="42" t="s">
        <v>245</v>
      </c>
      <c r="C147" s="42"/>
      <c r="D147" s="42"/>
      <c r="E147" s="42"/>
    </row>
    <row r="149" ht="15.75" spans="2:3">
      <c r="B149" s="13" t="s">
        <v>246</v>
      </c>
      <c r="C149" s="18">
        <f>+C145</f>
        <v>147500</v>
      </c>
    </row>
    <row r="150" ht="15.75" spans="2:3">
      <c r="B150" s="13" t="s">
        <v>247</v>
      </c>
      <c r="C150" s="18">
        <f>+C12</f>
        <v>135000</v>
      </c>
    </row>
    <row r="151" ht="15.75" spans="2:3">
      <c r="B151" s="45" t="s">
        <v>248</v>
      </c>
      <c r="C151" s="46">
        <f>+C149-C150</f>
        <v>12500</v>
      </c>
    </row>
  </sheetData>
  <mergeCells count="30">
    <mergeCell ref="B3:C3"/>
    <mergeCell ref="B19:C19"/>
    <mergeCell ref="C32:E32"/>
    <mergeCell ref="C33:E33"/>
    <mergeCell ref="B40:E40"/>
    <mergeCell ref="B42:C42"/>
    <mergeCell ref="B57:C57"/>
    <mergeCell ref="B68:E68"/>
    <mergeCell ref="C70:E70"/>
    <mergeCell ref="C71:E71"/>
    <mergeCell ref="B83:E83"/>
    <mergeCell ref="C87:H87"/>
    <mergeCell ref="B89:C89"/>
    <mergeCell ref="C97:D97"/>
    <mergeCell ref="C98:D98"/>
    <mergeCell ref="C99:D99"/>
    <mergeCell ref="C101:D101"/>
    <mergeCell ref="C102:D102"/>
    <mergeCell ref="B107:C107"/>
    <mergeCell ref="B119:E119"/>
    <mergeCell ref="B121:E121"/>
    <mergeCell ref="B123:C123"/>
    <mergeCell ref="B147:E147"/>
    <mergeCell ref="B32:B33"/>
    <mergeCell ref="B35:B36"/>
    <mergeCell ref="B70:B71"/>
    <mergeCell ref="B73:B74"/>
    <mergeCell ref="B85:B87"/>
    <mergeCell ref="B97:B99"/>
    <mergeCell ref="B101:B10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PORTADA</vt:lpstr>
      <vt:lpstr>EJERCICIO 1</vt:lpstr>
      <vt:lpstr>EJERCICIO 2</vt:lpstr>
      <vt:lpstr>EJERCICIO 3</vt:lpstr>
      <vt:lpstr>EJERCICIO 4</vt:lpstr>
      <vt:lpstr>EJERCICIO 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Barre Cedeño</dc:creator>
  <cp:lastModifiedBy>GLANZT</cp:lastModifiedBy>
  <dcterms:created xsi:type="dcterms:W3CDTF">2025-10-21T16:37:00Z</dcterms:created>
  <dcterms:modified xsi:type="dcterms:W3CDTF">2025-10-23T19:13:47Z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32F1F4351B2B431F84D3A6A813D25E7D_12</vt:lpwstr>
  </property>
  <property fmtid="{D5CDD505-2E9C-101B-9397-08002B2CF9AE}" pid="3" name="KSOProductBuildVer">
    <vt:lpwstr>2058-12.2.0.23131</vt:lpwstr>
  </property>
</Properties>
</file>